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CPE\sdc\bfe\10_Aides_Etat\8 - Analyse - généralités Aides d'Etat\Calcul_ESB\"/>
    </mc:Choice>
  </mc:AlternateContent>
  <bookViews>
    <workbookView xWindow="0" yWindow="0" windowWidth="20490" windowHeight="8910" tabRatio="793"/>
  </bookViews>
  <sheets>
    <sheet name="Données et Résultats" sheetId="1" r:id="rId1"/>
    <sheet name="Actualisation investissements" sheetId="2" r:id="rId2"/>
    <sheet name="Probabilités de défaillance" sheetId="3" r:id="rId3"/>
    <sheet name="Descriptif de l'opération" sheetId="4" r:id="rId4"/>
    <sheet name="Tranche 1" sheetId="5" r:id="rId5"/>
  </sheets>
  <definedNames>
    <definedName name="act">'Données et Résultats'!$B$8</definedName>
    <definedName name="iref">'Données et Résultats'!$B$7</definedName>
    <definedName name="irefmaj">'Données et Résultats'!$B$9</definedName>
  </definedNames>
  <calcPr calcId="162913" iterateDelta="1E-4"/>
</workbook>
</file>

<file path=xl/calcChain.xml><?xml version="1.0" encoding="utf-8"?>
<calcChain xmlns="http://schemas.openxmlformats.org/spreadsheetml/2006/main">
  <c r="D2" i="5" l="1"/>
  <c r="B4" i="1"/>
  <c r="E15" i="5"/>
  <c r="E11" i="5"/>
  <c r="E19" i="5" s="1"/>
  <c r="D3" i="2"/>
  <c r="D5" i="2" s="1"/>
  <c r="D7" i="3"/>
  <c r="D8" i="3" s="1"/>
  <c r="E7" i="3"/>
  <c r="E8" i="3" s="1"/>
  <c r="B3" i="4"/>
  <c r="C4" i="4"/>
  <c r="B5" i="4"/>
  <c r="B10" i="4"/>
  <c r="B11" i="4"/>
  <c r="B13" i="4" s="1"/>
  <c r="B12" i="4"/>
  <c r="C12" i="4"/>
  <c r="B14" i="4"/>
  <c r="F2" i="5"/>
  <c r="G2" i="5"/>
  <c r="H2" i="5"/>
  <c r="D3" i="5"/>
  <c r="D4" i="5" s="1"/>
  <c r="F3" i="5"/>
  <c r="G3" i="5"/>
  <c r="K3" i="5" s="1"/>
  <c r="H3" i="5"/>
  <c r="J3" i="5"/>
  <c r="L3" i="5"/>
  <c r="F4" i="5"/>
  <c r="G4" i="5"/>
  <c r="H4" i="5"/>
  <c r="J4" i="5"/>
  <c r="L4" i="5"/>
  <c r="F5" i="5"/>
  <c r="G5" i="5"/>
  <c r="H5" i="5"/>
  <c r="F6" i="5"/>
  <c r="G6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K4" i="5" l="1"/>
  <c r="D5" i="5"/>
  <c r="K6" i="5" s="1"/>
  <c r="J5" i="5"/>
  <c r="M4" i="5"/>
  <c r="L5" i="5"/>
  <c r="M3" i="5"/>
  <c r="C8" i="3"/>
  <c r="F7" i="5" s="1"/>
  <c r="E9" i="3"/>
  <c r="B2" i="4"/>
  <c r="G7" i="5"/>
  <c r="B1" i="4"/>
  <c r="B15" i="4" s="1"/>
  <c r="K5" i="5"/>
  <c r="M5" i="5" l="1"/>
  <c r="L6" i="5"/>
  <c r="M6" i="5" s="1"/>
  <c r="D6" i="5"/>
  <c r="L7" i="5" s="1"/>
  <c r="J6" i="5"/>
  <c r="C9" i="3"/>
  <c r="F8" i="5" s="1"/>
  <c r="K7" i="5"/>
  <c r="D9" i="3"/>
  <c r="D7" i="5" l="1"/>
  <c r="J7" i="5"/>
  <c r="M7" i="5"/>
  <c r="G8" i="5"/>
  <c r="D10" i="3"/>
  <c r="E10" i="3"/>
  <c r="D8" i="5" l="1"/>
  <c r="J8" i="5"/>
  <c r="B6" i="4"/>
  <c r="B7" i="4" s="1"/>
  <c r="G9" i="5"/>
  <c r="L8" i="5"/>
  <c r="K8" i="5"/>
  <c r="C10" i="3"/>
  <c r="F9" i="5" s="1"/>
  <c r="E11" i="3"/>
  <c r="M8" i="5" l="1"/>
  <c r="D9" i="5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J9" i="5"/>
  <c r="K9" i="5"/>
  <c r="L9" i="5"/>
  <c r="D11" i="3"/>
  <c r="C11" i="3"/>
  <c r="F10" i="5" s="1"/>
  <c r="J11" i="5" s="1"/>
  <c r="M9" i="5" l="1"/>
  <c r="J10" i="5"/>
  <c r="G10" i="5"/>
  <c r="D12" i="3"/>
  <c r="E12" i="3"/>
  <c r="C12" i="3" l="1"/>
  <c r="F11" i="5" s="1"/>
  <c r="J12" i="5" s="1"/>
  <c r="E13" i="3"/>
  <c r="D13" i="3"/>
  <c r="G11" i="5"/>
  <c r="K10" i="5"/>
  <c r="L10" i="5"/>
  <c r="M10" i="5" s="1"/>
  <c r="G12" i="5" l="1"/>
  <c r="L11" i="5"/>
  <c r="K11" i="5"/>
  <c r="C13" i="3"/>
  <c r="F12" i="5" s="1"/>
  <c r="J13" i="5" s="1"/>
  <c r="M11" i="5" l="1"/>
  <c r="L12" i="5"/>
  <c r="K12" i="5"/>
  <c r="E14" i="3"/>
  <c r="D14" i="3"/>
  <c r="C14" i="3" l="1"/>
  <c r="F13" i="5" s="1"/>
  <c r="J14" i="5" s="1"/>
  <c r="M12" i="5"/>
  <c r="G13" i="5"/>
  <c r="K13" i="5" l="1"/>
  <c r="L13" i="5"/>
  <c r="M13" i="5" s="1"/>
  <c r="D15" i="3"/>
  <c r="E15" i="3"/>
  <c r="C15" i="3" l="1"/>
  <c r="F14" i="5" s="1"/>
  <c r="J15" i="5" s="1"/>
  <c r="E16" i="3"/>
  <c r="D16" i="3"/>
  <c r="G14" i="5"/>
  <c r="G15" i="5" l="1"/>
  <c r="C16" i="3"/>
  <c r="F15" i="5" s="1"/>
  <c r="J16" i="5" s="1"/>
  <c r="E17" i="3"/>
  <c r="L14" i="5"/>
  <c r="K14" i="5"/>
  <c r="M14" i="5" l="1"/>
  <c r="K15" i="5"/>
  <c r="L15" i="5"/>
  <c r="C17" i="3"/>
  <c r="F16" i="5" s="1"/>
  <c r="J17" i="5" s="1"/>
  <c r="D17" i="3"/>
  <c r="M15" i="5" l="1"/>
  <c r="E18" i="3"/>
  <c r="G16" i="5"/>
  <c r="D18" i="3"/>
  <c r="G17" i="5" l="1"/>
  <c r="K16" i="5"/>
  <c r="L16" i="5"/>
  <c r="E19" i="3"/>
  <c r="C18" i="3"/>
  <c r="F17" i="5" s="1"/>
  <c r="J18" i="5" s="1"/>
  <c r="M16" i="5" l="1"/>
  <c r="C19" i="3"/>
  <c r="F18" i="5" s="1"/>
  <c r="J19" i="5" s="1"/>
  <c r="E20" i="3"/>
  <c r="D19" i="3"/>
  <c r="L17" i="5"/>
  <c r="K17" i="5"/>
  <c r="M17" i="5" l="1"/>
  <c r="D20" i="3"/>
  <c r="G18" i="5"/>
  <c r="C20" i="3"/>
  <c r="F19" i="5" s="1"/>
  <c r="K18" i="5" l="1"/>
  <c r="L18" i="5"/>
  <c r="M18" i="5" s="1"/>
  <c r="D21" i="3"/>
  <c r="G19" i="5"/>
  <c r="E21" i="3"/>
  <c r="C21" i="3" l="1"/>
  <c r="E22" i="3" s="1"/>
  <c r="K19" i="5"/>
  <c r="L19" i="5"/>
  <c r="M19" i="5" l="1"/>
  <c r="M21" i="5" s="1"/>
  <c r="B25" i="1" s="1"/>
  <c r="D26" i="1" s="1"/>
  <c r="C22" i="3"/>
  <c r="E23" i="3" s="1"/>
  <c r="B28" i="1"/>
  <c r="D22" i="3"/>
  <c r="C23" i="3" l="1"/>
  <c r="E24" i="3"/>
  <c r="D23" i="3"/>
  <c r="D24" i="3" s="1"/>
  <c r="C24" i="3" l="1"/>
  <c r="D25" i="3" s="1"/>
  <c r="E25" i="3"/>
  <c r="C25" i="3" l="1"/>
  <c r="D26" i="3" s="1"/>
  <c r="E26" i="3" l="1"/>
  <c r="C26" i="3" l="1"/>
  <c r="D27" i="3" s="1"/>
  <c r="E27" i="3" l="1"/>
  <c r="C27" i="3" l="1"/>
  <c r="D28" i="3" s="1"/>
  <c r="E28" i="3"/>
  <c r="C28" i="3" l="1"/>
  <c r="E29" i="3"/>
  <c r="D29" i="3"/>
  <c r="C29" i="3" l="1"/>
  <c r="D30" i="3" s="1"/>
  <c r="E30" i="3" l="1"/>
  <c r="C30" i="3" l="1"/>
  <c r="D31" i="3" s="1"/>
  <c r="E31" i="3" l="1"/>
  <c r="C31" i="3" l="1"/>
  <c r="D32" i="3" s="1"/>
  <c r="E32" i="3"/>
  <c r="C32" i="3" l="1"/>
  <c r="E33" i="3"/>
  <c r="D33" i="3"/>
  <c r="C33" i="3" l="1"/>
  <c r="D34" i="3" s="1"/>
  <c r="E34" i="3" l="1"/>
  <c r="C34" i="3" l="1"/>
  <c r="D35" i="3" s="1"/>
  <c r="E35" i="3" l="1"/>
  <c r="C35" i="3" l="1"/>
  <c r="D36" i="3" s="1"/>
  <c r="E36" i="3" l="1"/>
  <c r="C36" i="3" s="1"/>
</calcChain>
</file>

<file path=xl/sharedStrings.xml><?xml version="1.0" encoding="utf-8"?>
<sst xmlns="http://schemas.openxmlformats.org/spreadsheetml/2006/main" count="99" uniqueCount="74">
  <si>
    <t>Montant total des investissements actualisés à la date d'octroi de l'aide</t>
  </si>
  <si>
    <t>€</t>
  </si>
  <si>
    <t>quotité (montant du prêt en pourcentage de l'investissement)</t>
  </si>
  <si>
    <t>Nombre de tranches</t>
  </si>
  <si>
    <t>Montant total du prêt €</t>
  </si>
  <si>
    <t>http://ec.europa.eu/comm/competition/state_aid/legislation/reference_rates.html</t>
  </si>
  <si>
    <t>soit, en pourcentage des investissements actualisés =&gt;</t>
  </si>
  <si>
    <t>Remboursement</t>
  </si>
  <si>
    <t>Actualisation des investissements</t>
  </si>
  <si>
    <t>Taux moyen de défaillance à un moment quelconque de la durée de l'opération</t>
  </si>
  <si>
    <t>Période commençant en…</t>
  </si>
  <si>
    <t>Période commençant le…</t>
  </si>
  <si>
    <r>
      <t xml:space="preserve">Taux moyen de remboursement </t>
    </r>
    <r>
      <rPr>
        <b/>
        <sz val="10"/>
        <rFont val="Arial"/>
        <family val="2"/>
      </rPr>
      <t>total</t>
    </r>
    <r>
      <rPr>
        <sz val="10"/>
        <rFont val="Arial"/>
        <family val="2"/>
      </rPr>
      <t xml:space="preserve"> du prêt</t>
    </r>
  </si>
  <si>
    <t>Probabilité de défaillance et sa répartition dans le temps</t>
  </si>
  <si>
    <r>
      <t>p</t>
    </r>
    <r>
      <rPr>
        <b/>
        <vertAlign val="subscript"/>
        <sz val="10"/>
        <rFont val="Arial"/>
        <family val="2"/>
      </rPr>
      <t>n</t>
    </r>
    <r>
      <rPr>
        <sz val="10"/>
        <rFont val="Arial"/>
        <family val="2"/>
      </rPr>
      <t xml:space="preserve"> (probabilité de défaillance au cours de la période n)</t>
    </r>
  </si>
  <si>
    <r>
      <t>(1-P</t>
    </r>
    <r>
      <rPr>
        <b/>
        <vertAlign val="subscript"/>
        <sz val="10"/>
        <rFont val="Arial"/>
        <family val="2"/>
      </rPr>
      <t>n-1</t>
    </r>
    <r>
      <rPr>
        <b/>
        <sz val="10"/>
        <rFont val="Arial"/>
        <family val="2"/>
      </rPr>
      <t>)</t>
    </r>
    <r>
      <rPr>
        <sz val="10"/>
        <rFont val="Arial"/>
        <family val="2"/>
      </rPr>
      <t xml:space="preserve"> (probabilité de non-défaillance avant le début de la période n)</t>
    </r>
  </si>
  <si>
    <r>
      <t>P</t>
    </r>
    <r>
      <rPr>
        <b/>
        <vertAlign val="subscript"/>
        <sz val="10"/>
        <rFont val="Arial"/>
        <family val="2"/>
      </rPr>
      <t>n-1</t>
    </r>
    <r>
      <rPr>
        <sz val="10"/>
        <rFont val="Arial"/>
        <family val="2"/>
      </rPr>
      <t>(probabilité cumulée de défaillance avant le début de la période n)</t>
    </r>
  </si>
  <si>
    <t>Montants des investissements</t>
  </si>
  <si>
    <t>Montants actualisés des investissements</t>
  </si>
  <si>
    <t>Montant total des investissements actualisés à la date d'octroi du prêt</t>
  </si>
  <si>
    <t>RESULTAT DES CALCULS</t>
  </si>
  <si>
    <t>EQUIVALENT SUBVENTION BRUT :</t>
  </si>
  <si>
    <t>(1) taux de référence/actualisation défini par la Commission Européenne sur :</t>
  </si>
  <si>
    <t>Coefficient de conversion de l'équivalent subvention en montant de prêt</t>
  </si>
  <si>
    <r>
      <t>n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(rang de la période)</t>
    </r>
  </si>
  <si>
    <r>
      <t>1/(1+</t>
    </r>
    <r>
      <rPr>
        <b/>
        <i/>
        <sz val="10"/>
        <rFont val="Arial"/>
        <family val="2"/>
      </rPr>
      <t>a</t>
    </r>
    <r>
      <rPr>
        <b/>
        <sz val="10"/>
        <rFont val="Arial"/>
        <family val="2"/>
      </rPr>
      <t>)</t>
    </r>
    <r>
      <rPr>
        <b/>
        <i/>
        <vertAlign val="superscript"/>
        <sz val="10"/>
        <rFont val="Arial"/>
        <family val="2"/>
      </rPr>
      <t>n</t>
    </r>
    <r>
      <rPr>
        <sz val="10"/>
        <rFont val="Arial"/>
        <family val="2"/>
      </rPr>
      <t xml:space="preserve"> (Coefficient d'actualisation de la décision d'octroi au début de la période)</t>
    </r>
  </si>
  <si>
    <r>
      <t>C</t>
    </r>
    <r>
      <rPr>
        <b/>
        <i/>
        <vertAlign val="subscript"/>
        <sz val="10"/>
        <rFont val="Arial"/>
        <family val="2"/>
      </rPr>
      <t>n</t>
    </r>
    <r>
      <rPr>
        <b/>
        <i/>
        <vertAlign val="superscript"/>
        <sz val="10"/>
        <rFont val="Arial"/>
        <family val="2"/>
      </rPr>
      <t>m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(Capital restant dû au cours de la période 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)</t>
    </r>
  </si>
  <si>
    <r>
      <t>p</t>
    </r>
    <r>
      <rPr>
        <b/>
        <vertAlign val="subscript"/>
        <sz val="10"/>
        <rFont val="Arial"/>
        <family val="2"/>
      </rPr>
      <t>n</t>
    </r>
    <r>
      <rPr>
        <sz val="10"/>
        <rFont val="Arial"/>
        <family val="2"/>
      </rPr>
      <t xml:space="preserve"> (probabilité de défaillance au cours de la période 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)</t>
    </r>
  </si>
  <si>
    <r>
      <t>P</t>
    </r>
    <r>
      <rPr>
        <b/>
        <vertAlign val="subscript"/>
        <sz val="10"/>
        <rFont val="Arial"/>
        <family val="2"/>
      </rPr>
      <t>n-1</t>
    </r>
    <r>
      <rPr>
        <sz val="10"/>
        <rFont val="Arial"/>
        <family val="2"/>
      </rPr>
      <t xml:space="preserve">(probabilité cumulée de défaillance avant le début de la période 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)</t>
    </r>
  </si>
  <si>
    <r>
      <t>1</t>
    </r>
    <r>
      <rPr>
        <b/>
        <vertAlign val="superscript"/>
        <sz val="10"/>
        <rFont val="Arial"/>
        <family val="2"/>
      </rPr>
      <t>ère</t>
    </r>
    <r>
      <rPr>
        <b/>
        <sz val="10"/>
        <rFont val="Arial"/>
        <family val="2"/>
      </rPr>
      <t xml:space="preserve"> TRANCHE    (</t>
    </r>
    <r>
      <rPr>
        <b/>
        <i/>
        <sz val="10"/>
        <rFont val="Arial"/>
        <family val="2"/>
      </rPr>
      <t>m</t>
    </r>
    <r>
      <rPr>
        <b/>
        <sz val="10"/>
        <rFont val="Arial"/>
        <family val="2"/>
      </rPr>
      <t>=0)</t>
    </r>
  </si>
  <si>
    <t>Pbn-1*Cn-1*LGD</t>
  </si>
  <si>
    <t>1-Pbcumul * iref-interet * cn-1</t>
  </si>
  <si>
    <t>Intérêt</t>
  </si>
  <si>
    <t>taux de référence majoré</t>
  </si>
  <si>
    <t>Taux de référence majoré</t>
  </si>
  <si>
    <t>Taux actualisation</t>
  </si>
  <si>
    <t>Taux de référence</t>
  </si>
  <si>
    <t>PRÊT PUBLIC</t>
  </si>
  <si>
    <t>1 / (1+a)^n * ((Pbn-1 * Cn-1 * LGD) + (PbCumul * interet * Cn-1 * LGD) + (1-PbCumul * iref-interet * Cn-1) )</t>
  </si>
  <si>
    <t>PbCumul*interet*Cn-1*LGD</t>
  </si>
  <si>
    <t>30/09/2021</t>
  </si>
  <si>
    <t>Total</t>
  </si>
  <si>
    <t>Montant de la tranche 1 du prêt</t>
  </si>
  <si>
    <t>Taux accordéde la tranche 1 du prêt</t>
  </si>
  <si>
    <t>Date d'octroi de la tranche 1 du prêt</t>
  </si>
  <si>
    <t>Durée de la franchise de remboursement (différés) de la tranche 1 (Trimestrielle)</t>
  </si>
  <si>
    <t>Durée du remboursement de la tranche 1 (Trimestrielle)</t>
  </si>
  <si>
    <t>Tranche 1</t>
  </si>
  <si>
    <t>Montant de la tranche</t>
  </si>
  <si>
    <t>Durée du remboursement</t>
  </si>
  <si>
    <t>Taux accordé pour la tranche</t>
  </si>
  <si>
    <t>Durée de la franchise de remboursement</t>
  </si>
  <si>
    <t>Durée totale de l'opération de la tranche incluant le différé</t>
  </si>
  <si>
    <t>Points de bonification (Taux du marché - taux accordé)</t>
  </si>
  <si>
    <t>Quotité (montant du prêt en pourcentage de l'investissement)</t>
  </si>
  <si>
    <t>Versement</t>
  </si>
  <si>
    <t>Différé</t>
  </si>
  <si>
    <t>30/12/2021</t>
  </si>
  <si>
    <t>30/03/2022</t>
  </si>
  <si>
    <t>30/06/2022</t>
  </si>
  <si>
    <t>30/09/2022</t>
  </si>
  <si>
    <t>30/12/2022</t>
  </si>
  <si>
    <t>30/03/2023</t>
  </si>
  <si>
    <t>30/06/2023</t>
  </si>
  <si>
    <t>30/09/2023</t>
  </si>
  <si>
    <t>30/12/2023</t>
  </si>
  <si>
    <t>30/03/2024</t>
  </si>
  <si>
    <t>30/06/2024</t>
  </si>
  <si>
    <t>30/09/2024</t>
  </si>
  <si>
    <t>30/12/2024</t>
  </si>
  <si>
    <t>30/03/2025</t>
  </si>
  <si>
    <t>30/06/2025</t>
  </si>
  <si>
    <t>30/09/2025</t>
  </si>
  <si>
    <t>30/12/2025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</si>
</sst>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8" formatCode="0.0000%"/>
    <numFmt numFmtId="179" formatCode="0.000%"/>
    <numFmt numFmtId="181" formatCode="#,##0\ &quot;€&quot;"/>
    <numFmt numFmtId="185" formatCode="#,##0.00\ &quot;€&quot;"/>
    <numFmt numFmtId="187" formatCode="###\ ###\ ###\ ##0.00"/>
  </numFmts>
  <fonts count="18" x14ac:knownFonts="1">
    <font>
      <sz val="10"/>
      <name val="Arial"/>
      <family val="2"/>
    </font>
    <font>
      <b/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b/>
      <sz val="10"/>
      <color indexed="57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vertAlign val="subscript"/>
      <sz val="10"/>
      <name val="Arial"/>
      <family val="2"/>
    </font>
    <font>
      <b/>
      <i/>
      <vertAlign val="superscript"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12">
    <xf numFmtId="0" fontId="0" fillId="0" borderId="0" xfId="0"/>
    <xf numFmtId="10" fontId="0" fillId="0" borderId="0" xfId="0" applyNumberFormat="1"/>
    <xf numFmtId="0" fontId="3" fillId="0" borderId="0" xfId="0" applyFont="1"/>
    <xf numFmtId="3" fontId="0" fillId="0" borderId="0" xfId="0" applyNumberFormat="1"/>
    <xf numFmtId="0" fontId="0" fillId="0" borderId="0" xfId="0" applyFill="1"/>
    <xf numFmtId="0" fontId="1" fillId="0" borderId="0" xfId="0" applyFont="1"/>
    <xf numFmtId="10" fontId="1" fillId="0" borderId="0" xfId="0" applyNumberFormat="1" applyFont="1" applyAlignment="1">
      <alignment horizontal="center" vertical="center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8" fillId="0" borderId="0" xfId="0" applyFont="1"/>
    <xf numFmtId="0" fontId="7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/>
    <xf numFmtId="10" fontId="3" fillId="0" borderId="0" xfId="0" applyNumberFormat="1" applyFont="1" applyFill="1" applyBorder="1" applyAlignment="1">
      <alignment vertical="center" wrapText="1"/>
    </xf>
    <xf numFmtId="178" fontId="0" fillId="0" borderId="0" xfId="0" applyNumberFormat="1" applyFill="1" applyBorder="1"/>
    <xf numFmtId="3" fontId="7" fillId="0" borderId="0" xfId="2" applyNumberFormat="1" applyFill="1" applyBorder="1"/>
    <xf numFmtId="1" fontId="0" fillId="0" borderId="0" xfId="0" applyNumberForma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3" fontId="7" fillId="0" borderId="1" xfId="0" applyNumberFormat="1" applyFont="1" applyFill="1" applyBorder="1"/>
    <xf numFmtId="1" fontId="0" fillId="0" borderId="3" xfId="0" applyNumberFormat="1" applyFill="1" applyBorder="1"/>
    <xf numFmtId="10" fontId="7" fillId="0" borderId="1" xfId="0" applyNumberFormat="1" applyFont="1" applyFill="1" applyBorder="1"/>
    <xf numFmtId="0" fontId="0" fillId="0" borderId="3" xfId="0" applyFill="1" applyBorder="1"/>
    <xf numFmtId="1" fontId="7" fillId="0" borderId="1" xfId="0" applyNumberFormat="1" applyFont="1" applyBorder="1"/>
    <xf numFmtId="0" fontId="0" fillId="0" borderId="3" xfId="0" applyBorder="1"/>
    <xf numFmtId="0" fontId="7" fillId="0" borderId="1" xfId="0" applyFont="1" applyBorder="1"/>
    <xf numFmtId="0" fontId="0" fillId="0" borderId="4" xfId="0" applyFill="1" applyBorder="1"/>
    <xf numFmtId="0" fontId="0" fillId="0" borderId="4" xfId="0" applyBorder="1"/>
    <xf numFmtId="0" fontId="7" fillId="0" borderId="4" xfId="0" applyFont="1" applyBorder="1"/>
    <xf numFmtId="0" fontId="0" fillId="0" borderId="5" xfId="0" applyFill="1" applyBorder="1" applyAlignment="1">
      <alignment wrapText="1"/>
    </xf>
    <xf numFmtId="3" fontId="7" fillId="0" borderId="7" xfId="0" applyNumberFormat="1" applyFont="1" applyFill="1" applyBorder="1"/>
    <xf numFmtId="0" fontId="10" fillId="0" borderId="8" xfId="2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2" fillId="0" borderId="9" xfId="0" applyNumberFormat="1" applyFont="1" applyFill="1" applyBorder="1"/>
    <xf numFmtId="3" fontId="2" fillId="0" borderId="9" xfId="2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11" fontId="7" fillId="0" borderId="1" xfId="0" applyNumberFormat="1" applyFont="1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 wrapText="1"/>
    </xf>
    <xf numFmtId="10" fontId="7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/>
    <xf numFmtId="10" fontId="3" fillId="0" borderId="7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vertical="center" wrapText="1"/>
    </xf>
    <xf numFmtId="181" fontId="7" fillId="0" borderId="10" xfId="0" applyNumberFormat="1" applyFont="1" applyFill="1" applyBorder="1"/>
    <xf numFmtId="10" fontId="7" fillId="0" borderId="10" xfId="0" applyNumberFormat="1" applyFont="1" applyFill="1" applyBorder="1"/>
    <xf numFmtId="3" fontId="7" fillId="0" borderId="10" xfId="0" applyNumberFormat="1" applyFont="1" applyFill="1" applyBorder="1"/>
    <xf numFmtId="0" fontId="7" fillId="0" borderId="10" xfId="0" applyFont="1" applyBorder="1"/>
    <xf numFmtId="0" fontId="6" fillId="0" borderId="10" xfId="0" applyFont="1" applyBorder="1"/>
    <xf numFmtId="10" fontId="6" fillId="0" borderId="10" xfId="0" applyNumberFormat="1" applyFont="1" applyBorder="1"/>
    <xf numFmtId="0" fontId="7" fillId="0" borderId="11" xfId="0" applyFont="1" applyBorder="1"/>
    <xf numFmtId="0" fontId="4" fillId="0" borderId="0" xfId="1" applyNumberFormat="1" applyFill="1" applyBorder="1" applyAlignment="1" applyProtection="1"/>
    <xf numFmtId="0" fontId="0" fillId="0" borderId="0" xfId="0" applyBorder="1"/>
    <xf numFmtId="0" fontId="7" fillId="0" borderId="0" xfId="0" applyFont="1" applyBorder="1"/>
    <xf numFmtId="0" fontId="4" fillId="0" borderId="12" xfId="1" applyNumberFormat="1" applyFill="1" applyBorder="1" applyAlignment="1" applyProtection="1"/>
    <xf numFmtId="0" fontId="0" fillId="0" borderId="13" xfId="0" applyBorder="1"/>
    <xf numFmtId="0" fontId="7" fillId="0" borderId="14" xfId="0" applyFont="1" applyBorder="1"/>
    <xf numFmtId="0" fontId="0" fillId="0" borderId="15" xfId="0" applyBorder="1"/>
    <xf numFmtId="0" fontId="3" fillId="0" borderId="16" xfId="0" applyFont="1" applyBorder="1" applyAlignment="1">
      <alignment horizontal="center" wrapText="1"/>
    </xf>
    <xf numFmtId="4" fontId="9" fillId="0" borderId="17" xfId="0" applyNumberFormat="1" applyFont="1" applyBorder="1" applyAlignment="1">
      <alignment horizontal="center"/>
    </xf>
    <xf numFmtId="179" fontId="7" fillId="0" borderId="10" xfId="0" applyNumberFormat="1" applyFont="1" applyBorder="1"/>
    <xf numFmtId="3" fontId="2" fillId="0" borderId="2" xfId="0" applyNumberFormat="1" applyFont="1" applyFill="1" applyBorder="1" applyProtection="1">
      <protection locked="0"/>
    </xf>
    <xf numFmtId="10" fontId="2" fillId="0" borderId="2" xfId="0" applyNumberFormat="1" applyFont="1" applyFill="1" applyBorder="1" applyProtection="1">
      <protection locked="0"/>
    </xf>
    <xf numFmtId="1" fontId="2" fillId="0" borderId="2" xfId="0" applyNumberFormat="1" applyFont="1" applyBorder="1" applyProtection="1">
      <protection locked="0"/>
    </xf>
    <xf numFmtId="0" fontId="5" fillId="0" borderId="0" xfId="0" applyFont="1" applyBorder="1"/>
    <xf numFmtId="181" fontId="6" fillId="0" borderId="0" xfId="0" applyNumberFormat="1" applyFont="1" applyBorder="1"/>
    <xf numFmtId="0" fontId="6" fillId="0" borderId="0" xfId="0" applyFont="1" applyBorder="1"/>
    <xf numFmtId="4" fontId="9" fillId="0" borderId="0" xfId="0" applyNumberFormat="1" applyFont="1" applyBorder="1" applyAlignment="1">
      <alignment horizontal="center"/>
    </xf>
    <xf numFmtId="0" fontId="1" fillId="0" borderId="0" xfId="0" applyFont="1" applyBorder="1"/>
    <xf numFmtId="10" fontId="6" fillId="0" borderId="0" xfId="0" applyNumberFormat="1" applyFont="1" applyBorder="1"/>
    <xf numFmtId="0" fontId="1" fillId="0" borderId="0" xfId="0" applyFont="1" applyBorder="1" applyAlignment="1"/>
    <xf numFmtId="10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centerContinuous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10" fontId="3" fillId="0" borderId="21" xfId="0" applyNumberFormat="1" applyFont="1" applyFill="1" applyBorder="1" applyAlignment="1">
      <alignment horizontal="center" vertical="center" wrapText="1"/>
    </xf>
    <xf numFmtId="10" fontId="3" fillId="0" borderId="19" xfId="0" applyNumberFormat="1" applyFont="1" applyFill="1" applyBorder="1" applyAlignment="1">
      <alignment horizontal="center" vertical="center" wrapText="1"/>
    </xf>
    <xf numFmtId="10" fontId="3" fillId="0" borderId="20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187" fontId="0" fillId="0" borderId="0" xfId="0" applyNumberFormat="1"/>
    <xf numFmtId="187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2" xfId="0" applyFont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187" fontId="0" fillId="0" borderId="28" xfId="0" applyNumberFormat="1" applyBorder="1" applyAlignment="1">
      <alignment horizontal="center"/>
    </xf>
    <xf numFmtId="0" fontId="0" fillId="0" borderId="24" xfId="0" applyBorder="1" applyAlignment="1">
      <alignment vertical="center"/>
    </xf>
    <xf numFmtId="0" fontId="7" fillId="0" borderId="9" xfId="0" applyFont="1" applyBorder="1" applyAlignment="1"/>
    <xf numFmtId="0" fontId="0" fillId="0" borderId="24" xfId="0" applyBorder="1" applyAlignment="1"/>
    <xf numFmtId="0" fontId="10" fillId="0" borderId="6" xfId="2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187" fontId="0" fillId="2" borderId="0" xfId="0" applyNumberFormat="1" applyFill="1"/>
    <xf numFmtId="185" fontId="0" fillId="2" borderId="0" xfId="0" applyNumberFormat="1" applyFill="1"/>
  </cellXfs>
  <cellStyles count="3">
    <cellStyle name="Lien hypertexte" xfId="1" builtinId="8"/>
    <cellStyle name="Normal" xfId="0" builtinId="0"/>
    <cellStyle name="Normal_ES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</xdr:col>
      <xdr:colOff>0</xdr:colOff>
      <xdr:row>31</xdr:row>
      <xdr:rowOff>95250</xdr:rowOff>
    </xdr:to>
    <xdr:pic>
      <xdr:nvPicPr>
        <xdr:cNvPr id="1030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00675"/>
          <a:ext cx="57626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85725</xdr:colOff>
      <xdr:row>0</xdr:row>
      <xdr:rowOff>314325</xdr:rowOff>
    </xdr:from>
    <xdr:to>
      <xdr:col>20</xdr:col>
      <xdr:colOff>514350</xdr:colOff>
      <xdr:row>0</xdr:row>
      <xdr:rowOff>895350</xdr:rowOff>
    </xdr:to>
    <xdr:pic>
      <xdr:nvPicPr>
        <xdr:cNvPr id="307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314325"/>
          <a:ext cx="57626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104775</xdr:colOff>
      <xdr:row>0</xdr:row>
      <xdr:rowOff>276225</xdr:rowOff>
    </xdr:from>
    <xdr:to>
      <xdr:col>9</xdr:col>
      <xdr:colOff>1190625</xdr:colOff>
      <xdr:row>0</xdr:row>
      <xdr:rowOff>476250</xdr:rowOff>
    </xdr:to>
    <xdr:pic>
      <xdr:nvPicPr>
        <xdr:cNvPr id="3074" name="Imag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276225"/>
          <a:ext cx="10858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66675</xdr:colOff>
      <xdr:row>0</xdr:row>
      <xdr:rowOff>266700</xdr:rowOff>
    </xdr:from>
    <xdr:to>
      <xdr:col>10</xdr:col>
      <xdr:colOff>1409700</xdr:colOff>
      <xdr:row>0</xdr:row>
      <xdr:rowOff>485775</xdr:rowOff>
    </xdr:to>
    <xdr:pic>
      <xdr:nvPicPr>
        <xdr:cNvPr id="3075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266700"/>
          <a:ext cx="13430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123825</xdr:colOff>
      <xdr:row>0</xdr:row>
      <xdr:rowOff>171450</xdr:rowOff>
    </xdr:from>
    <xdr:to>
      <xdr:col>11</xdr:col>
      <xdr:colOff>1609725</xdr:colOff>
      <xdr:row>0</xdr:row>
      <xdr:rowOff>590550</xdr:rowOff>
    </xdr:to>
    <xdr:pic>
      <xdr:nvPicPr>
        <xdr:cNvPr id="3076" name="Imag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8900" y="171450"/>
          <a:ext cx="14859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Q29"/>
  <sheetViews>
    <sheetView showGridLines="0" tabSelected="1" workbookViewId="0">
      <selection activeCell="B6" sqref="B6"/>
    </sheetView>
  </sheetViews>
  <sheetFormatPr baseColWidth="10" defaultRowHeight="12.75" x14ac:dyDescent="0.2"/>
  <cols>
    <col min="1" max="1" width="64.140625" customWidth="1"/>
    <col min="2" max="2" width="12.42578125" bestFit="1" customWidth="1"/>
    <col min="3" max="3" width="9.85546875" style="10" customWidth="1"/>
    <col min="4" max="4" width="27.85546875" customWidth="1"/>
    <col min="5" max="5" width="11.7109375" customWidth="1"/>
    <col min="6" max="6" width="15.42578125" customWidth="1"/>
    <col min="7" max="7" width="12.7109375" customWidth="1"/>
    <col min="8" max="8" width="14.5703125" customWidth="1"/>
    <col min="10" max="10" width="13.42578125" customWidth="1"/>
    <col min="11" max="11" width="14.85546875" customWidth="1"/>
    <col min="12" max="12" width="15.42578125" customWidth="1"/>
  </cols>
  <sheetData>
    <row r="1" spans="1:12" ht="19.5" x14ac:dyDescent="0.3">
      <c r="A1" s="96" t="s">
        <v>37</v>
      </c>
      <c r="B1" s="96"/>
      <c r="C1" s="96"/>
      <c r="D1" s="96"/>
    </row>
    <row r="2" spans="1:12" ht="13.5" thickBot="1" x14ac:dyDescent="0.25"/>
    <row r="3" spans="1:12" ht="14.25" thickTop="1" thickBot="1" x14ac:dyDescent="0.25">
      <c r="A3" s="38"/>
      <c r="B3" s="39"/>
      <c r="C3" s="39"/>
      <c r="D3" s="40"/>
      <c r="E3" s="22"/>
      <c r="F3" s="22"/>
      <c r="G3" s="22"/>
      <c r="H3" s="19"/>
      <c r="I3" s="19"/>
      <c r="J3" s="19"/>
      <c r="K3" s="19"/>
      <c r="L3" s="19"/>
    </row>
    <row r="4" spans="1:12" ht="18.75" thickTop="1" x14ac:dyDescent="0.2">
      <c r="A4" s="35" t="s">
        <v>19</v>
      </c>
      <c r="B4" s="94">
        <f>B5</f>
        <v>30000</v>
      </c>
      <c r="C4" s="36" t="s">
        <v>1</v>
      </c>
      <c r="D4" s="37"/>
      <c r="E4" s="21"/>
      <c r="F4" s="21"/>
      <c r="G4" s="21"/>
      <c r="H4" s="19"/>
      <c r="I4" s="19"/>
      <c r="J4" s="19"/>
      <c r="K4" s="19"/>
      <c r="L4" s="19"/>
    </row>
    <row r="5" spans="1:12" x14ac:dyDescent="0.2">
      <c r="A5" s="32" t="s">
        <v>4</v>
      </c>
      <c r="B5" s="111">
        <v>30000</v>
      </c>
      <c r="C5" s="95" t="s">
        <v>1</v>
      </c>
      <c r="D5" s="95"/>
      <c r="E5" s="12"/>
      <c r="F5" s="13"/>
      <c r="G5" s="13"/>
      <c r="H5" s="12"/>
      <c r="I5" s="12"/>
      <c r="J5" s="15"/>
      <c r="K5" s="15"/>
      <c r="L5" s="15"/>
    </row>
    <row r="6" spans="1:12" x14ac:dyDescent="0.2">
      <c r="A6" s="32" t="s">
        <v>3</v>
      </c>
      <c r="B6">
        <v>1</v>
      </c>
      <c r="C6" s="25"/>
      <c r="D6" s="26"/>
      <c r="E6" s="11"/>
      <c r="F6" s="14"/>
      <c r="G6" s="17"/>
      <c r="H6" s="18"/>
      <c r="I6" s="11"/>
      <c r="J6" s="16"/>
      <c r="K6" s="16"/>
      <c r="L6" s="16"/>
    </row>
    <row r="7" spans="1:12" x14ac:dyDescent="0.2">
      <c r="A7" s="32" t="s">
        <v>36</v>
      </c>
      <c r="B7" s="95">
        <v>-1.1269034363680097E-3</v>
      </c>
      <c r="C7" s="25"/>
      <c r="D7" s="26"/>
      <c r="E7" s="11"/>
      <c r="F7" s="14"/>
      <c r="G7" s="17"/>
      <c r="H7" s="18"/>
      <c r="I7" s="11"/>
      <c r="J7" s="16"/>
      <c r="K7" s="16"/>
      <c r="L7" s="16"/>
    </row>
    <row r="8" spans="1:12" x14ac:dyDescent="0.2">
      <c r="A8" s="32" t="s">
        <v>35</v>
      </c>
      <c r="B8" s="95">
        <v>1.37217312686988E-3</v>
      </c>
      <c r="C8" s="25"/>
      <c r="D8" s="26"/>
      <c r="E8" s="11"/>
      <c r="F8" s="14"/>
      <c r="G8" s="17"/>
      <c r="H8" s="18"/>
      <c r="I8" s="11"/>
      <c r="J8" s="16"/>
      <c r="K8" s="16"/>
      <c r="L8" s="16"/>
    </row>
    <row r="9" spans="1:12" x14ac:dyDescent="0.2">
      <c r="A9" s="33" t="s">
        <v>33</v>
      </c>
      <c r="B9" s="95">
        <v>1.37217312686988E-3</v>
      </c>
      <c r="C9" s="27"/>
      <c r="D9" s="28"/>
      <c r="E9" s="11"/>
      <c r="F9" s="14"/>
      <c r="G9" s="17"/>
      <c r="H9" s="11"/>
      <c r="I9" s="11"/>
      <c r="J9" s="16"/>
      <c r="K9" s="16"/>
      <c r="L9" s="16"/>
    </row>
    <row r="10" spans="1:12" x14ac:dyDescent="0.2">
      <c r="A10" s="95" t="s">
        <v>42</v>
      </c>
      <c r="B10" s="94">
        <v>3000</v>
      </c>
      <c r="C10" s="25"/>
      <c r="D10" s="26"/>
      <c r="E10" s="11"/>
      <c r="F10" s="14"/>
      <c r="G10" s="17"/>
      <c r="H10" s="18"/>
      <c r="I10" s="11"/>
      <c r="J10" s="16"/>
      <c r="K10" s="16"/>
      <c r="L10" s="16"/>
    </row>
    <row r="11" spans="1:12" x14ac:dyDescent="0.2">
      <c r="A11" s="95" t="s">
        <v>43</v>
      </c>
      <c r="B11" s="95">
        <v>0</v>
      </c>
      <c r="C11" s="27"/>
      <c r="D11" s="28"/>
      <c r="E11" s="11"/>
      <c r="F11" s="14"/>
      <c r="G11" s="17"/>
      <c r="H11" s="11"/>
      <c r="I11" s="11"/>
      <c r="J11" s="16"/>
      <c r="K11" s="16"/>
      <c r="L11" s="16"/>
    </row>
    <row r="12" spans="1:12" x14ac:dyDescent="0.2">
      <c r="A12" s="95" t="s">
        <v>44</v>
      </c>
      <c r="B12" s="95" t="s">
        <v>40</v>
      </c>
      <c r="C12" s="29"/>
      <c r="D12" s="30"/>
      <c r="H12" s="11"/>
      <c r="I12" s="11"/>
      <c r="J12" s="16"/>
      <c r="K12" s="16"/>
      <c r="L12" s="16"/>
    </row>
    <row r="13" spans="1:12" x14ac:dyDescent="0.2">
      <c r="A13" s="95" t="s">
        <v>45</v>
      </c>
      <c r="B13" s="95">
        <v>8</v>
      </c>
      <c r="C13" s="29"/>
      <c r="D13" s="30"/>
      <c r="H13" s="11"/>
      <c r="I13" s="11"/>
      <c r="J13" s="16"/>
      <c r="K13" s="16"/>
      <c r="L13" s="16"/>
    </row>
    <row r="14" spans="1:12" x14ac:dyDescent="0.2">
      <c r="A14" s="95" t="s">
        <v>46</v>
      </c>
      <c r="B14" s="95">
        <v>9</v>
      </c>
      <c r="C14" s="29"/>
      <c r="D14" s="30"/>
      <c r="H14" s="11"/>
      <c r="I14" s="11"/>
      <c r="J14" s="16"/>
      <c r="K14" s="16"/>
      <c r="L14" s="16"/>
    </row>
    <row r="15" spans="1:12" x14ac:dyDescent="0.2">
      <c r="A15" s="32"/>
      <c r="B15" s="71"/>
      <c r="C15" s="25"/>
      <c r="D15" s="26"/>
      <c r="E15" s="11"/>
      <c r="F15" s="14"/>
      <c r="G15" s="17"/>
      <c r="H15" s="18"/>
      <c r="I15" s="11"/>
      <c r="J15" s="16"/>
      <c r="K15" s="16"/>
      <c r="L15" s="16"/>
    </row>
    <row r="16" spans="1:12" x14ac:dyDescent="0.2">
      <c r="A16" s="32"/>
      <c r="B16" s="72"/>
      <c r="C16" s="29"/>
      <c r="D16" s="30"/>
      <c r="H16" s="11"/>
      <c r="I16" s="11"/>
      <c r="J16" s="16"/>
      <c r="K16" s="16"/>
      <c r="L16" s="16"/>
    </row>
    <row r="17" spans="1:17" x14ac:dyDescent="0.2">
      <c r="A17" s="32"/>
      <c r="B17" s="71"/>
      <c r="C17" s="29"/>
      <c r="D17" s="30"/>
      <c r="H17" s="11"/>
      <c r="I17" s="20"/>
      <c r="J17" s="16"/>
      <c r="K17" s="16"/>
      <c r="L17" s="11"/>
    </row>
    <row r="18" spans="1:17" x14ac:dyDescent="0.2">
      <c r="A18" s="34"/>
      <c r="B18" s="73"/>
      <c r="C18" s="29"/>
      <c r="D18" s="30"/>
      <c r="H18" s="11"/>
      <c r="I18" s="4"/>
    </row>
    <row r="19" spans="1:17" x14ac:dyDescent="0.2">
      <c r="A19" s="33"/>
      <c r="B19" s="73"/>
      <c r="C19" s="29"/>
      <c r="D19" s="30"/>
    </row>
    <row r="20" spans="1:17" x14ac:dyDescent="0.2">
      <c r="A20" s="33" t="s">
        <v>22</v>
      </c>
      <c r="B20" s="24"/>
      <c r="C20" s="31"/>
      <c r="D20" s="30"/>
    </row>
    <row r="21" spans="1:17" ht="13.5" thickBot="1" x14ac:dyDescent="0.25">
      <c r="A21" s="64" t="s">
        <v>5</v>
      </c>
      <c r="B21" s="65"/>
      <c r="C21" s="66"/>
      <c r="D21" s="67"/>
    </row>
    <row r="22" spans="1:17" s="62" customFormat="1" ht="13.5" thickTop="1" x14ac:dyDescent="0.2">
      <c r="A22" s="61"/>
      <c r="C22" s="63"/>
    </row>
    <row r="23" spans="1:17" s="62" customFormat="1" ht="19.5" x14ac:dyDescent="0.3">
      <c r="A23" s="97" t="s">
        <v>20</v>
      </c>
      <c r="B23" s="96"/>
      <c r="C23" s="96"/>
      <c r="D23" s="96"/>
    </row>
    <row r="24" spans="1:17" s="62" customFormat="1" ht="13.5" thickBot="1" x14ac:dyDescent="0.25">
      <c r="A24" s="61"/>
      <c r="C24" s="63"/>
    </row>
    <row r="25" spans="1:17" ht="36.75" customHeight="1" thickTop="1" x14ac:dyDescent="0.2">
      <c r="A25" s="98" t="s">
        <v>21</v>
      </c>
      <c r="B25" s="100">
        <f>'Tranche 1'!M21</f>
        <v>544.57968898479646</v>
      </c>
      <c r="C25" s="102"/>
      <c r="D25" s="68" t="s">
        <v>23</v>
      </c>
    </row>
    <row r="26" spans="1:17" ht="18.75" thickBot="1" x14ac:dyDescent="0.3">
      <c r="A26" s="99"/>
      <c r="B26" s="101"/>
      <c r="C26" s="103"/>
      <c r="D26" s="69">
        <f>B5/B25</f>
        <v>55.08835640918943</v>
      </c>
      <c r="E26" s="9"/>
    </row>
    <row r="27" spans="1:17" ht="20.25" thickTop="1" x14ac:dyDescent="0.3">
      <c r="A27" s="46"/>
      <c r="B27" s="58"/>
      <c r="C27" s="60"/>
    </row>
    <row r="28" spans="1:17" ht="19.5" x14ac:dyDescent="0.3">
      <c r="A28" s="47" t="s">
        <v>6</v>
      </c>
      <c r="B28" s="59">
        <f>B25/B4</f>
        <v>1.8152656299493215E-2</v>
      </c>
      <c r="C28" s="60"/>
    </row>
    <row r="29" spans="1:17" x14ac:dyDescent="0.2">
      <c r="C29"/>
      <c r="E29" s="6"/>
      <c r="J29" s="7"/>
      <c r="K29" s="7"/>
      <c r="Q29" s="8"/>
    </row>
  </sheetData>
  <mergeCells count="5">
    <mergeCell ref="A1:D1"/>
    <mergeCell ref="A23:D23"/>
    <mergeCell ref="A25:A26"/>
    <mergeCell ref="B25:B26"/>
    <mergeCell ref="C25:C26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8" scale="85" orientation="landscape" horizontalDpi="300" verticalDpi="300" r:id="rId1"/>
  <headerFooter alignWithMargins="0">
    <oddHeader>&amp;F</oddHeader>
    <oddFooter>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D5"/>
  <sheetViews>
    <sheetView showGridLines="0" workbookViewId="0">
      <selection activeCell="J13" sqref="J13"/>
    </sheetView>
  </sheetViews>
  <sheetFormatPr baseColWidth="10" defaultRowHeight="12.75" x14ac:dyDescent="0.2"/>
  <cols>
    <col min="1" max="1" width="13.42578125" customWidth="1"/>
    <col min="3" max="3" width="15.7109375" customWidth="1"/>
    <col min="4" max="4" width="15.42578125" customWidth="1"/>
  </cols>
  <sheetData>
    <row r="1" spans="1:4" ht="18.75" thickTop="1" x14ac:dyDescent="0.2">
      <c r="A1" s="104" t="s">
        <v>8</v>
      </c>
      <c r="B1" s="105"/>
      <c r="C1" s="105"/>
      <c r="D1" s="106"/>
    </row>
    <row r="2" spans="1:4" ht="38.25" x14ac:dyDescent="0.2">
      <c r="A2" s="49" t="s">
        <v>10</v>
      </c>
      <c r="B2" s="83" t="s">
        <v>24</v>
      </c>
      <c r="C2" s="50" t="s">
        <v>17</v>
      </c>
      <c r="D2" s="51" t="s">
        <v>18</v>
      </c>
    </row>
    <row r="3" spans="1:4" x14ac:dyDescent="0.2">
      <c r="A3" s="95" t="s">
        <v>40</v>
      </c>
      <c r="B3" s="95">
        <v>0</v>
      </c>
      <c r="C3" s="94">
        <v>3000</v>
      </c>
      <c r="D3" s="94">
        <f>C3/(1+act)^B3</f>
        <v>3000</v>
      </c>
    </row>
    <row r="5" spans="1:4" x14ac:dyDescent="0.2">
      <c r="C5" t="s">
        <v>41</v>
      </c>
      <c r="D5" s="93">
        <f>SUM(D3:D3)</f>
        <v>3000</v>
      </c>
    </row>
  </sheetData>
  <mergeCells count="1">
    <mergeCell ref="A1:D1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8" orientation="landscape" r:id="rId1"/>
  <headerFooter alignWithMargins="0"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E57"/>
  <sheetViews>
    <sheetView topLeftCell="A10" workbookViewId="0">
      <selection activeCell="G9" sqref="G9"/>
    </sheetView>
  </sheetViews>
  <sheetFormatPr baseColWidth="10" defaultRowHeight="12.75" x14ac:dyDescent="0.2"/>
  <cols>
    <col min="1" max="1" width="20.7109375" customWidth="1"/>
    <col min="3" max="3" width="16" customWidth="1"/>
    <col min="4" max="4" width="20.7109375" customWidth="1"/>
    <col min="5" max="5" width="19.7109375" customWidth="1"/>
  </cols>
  <sheetData>
    <row r="1" spans="1:5" ht="14.25" thickTop="1" thickBot="1" x14ac:dyDescent="0.25">
      <c r="A1" s="107" t="s">
        <v>13</v>
      </c>
      <c r="B1" s="108"/>
      <c r="C1" s="108"/>
      <c r="D1" s="108"/>
      <c r="E1" s="109"/>
    </row>
    <row r="2" spans="1:5" ht="53.25" thickTop="1" x14ac:dyDescent="0.2">
      <c r="A2" s="52" t="s">
        <v>10</v>
      </c>
      <c r="B2" s="84" t="s">
        <v>24</v>
      </c>
      <c r="C2" s="48" t="s">
        <v>14</v>
      </c>
      <c r="D2" s="48" t="s">
        <v>16</v>
      </c>
      <c r="E2" s="53" t="s">
        <v>15</v>
      </c>
    </row>
    <row r="3" spans="1:5" x14ac:dyDescent="0.2">
      <c r="A3" s="1"/>
      <c r="B3" s="1"/>
      <c r="C3" s="1"/>
      <c r="D3" s="1"/>
      <c r="E3" s="1"/>
    </row>
    <row r="4" spans="1:5" x14ac:dyDescent="0.2">
      <c r="A4" s="1"/>
      <c r="B4" s="1"/>
      <c r="C4" s="1"/>
      <c r="D4" s="1"/>
      <c r="E4" s="1"/>
    </row>
    <row r="5" spans="1:5" x14ac:dyDescent="0.2">
      <c r="A5" s="1"/>
      <c r="B5" s="1"/>
      <c r="C5" s="1"/>
      <c r="D5" s="1"/>
      <c r="E5" s="1"/>
    </row>
    <row r="6" spans="1:5" x14ac:dyDescent="0.2">
      <c r="B6">
        <v>0</v>
      </c>
      <c r="C6">
        <v>0</v>
      </c>
      <c r="D6">
        <v>0</v>
      </c>
      <c r="E6">
        <v>1</v>
      </c>
    </row>
    <row r="7" spans="1:5" x14ac:dyDescent="0.2">
      <c r="B7">
        <v>1</v>
      </c>
      <c r="C7" s="93">
        <v>7.5008438976897907E-5</v>
      </c>
      <c r="D7" s="93">
        <f t="shared" ref="D7:D36" si="0">D6+C6</f>
        <v>0</v>
      </c>
      <c r="E7" s="93">
        <f t="shared" ref="E7:E36" si="1">E6-C6</f>
        <v>1</v>
      </c>
    </row>
    <row r="8" spans="1:5" x14ac:dyDescent="0.2">
      <c r="B8">
        <v>2</v>
      </c>
      <c r="C8" s="93">
        <f>C7*E8</f>
        <v>7.5002812710980149E-5</v>
      </c>
      <c r="D8" s="93">
        <f t="shared" si="0"/>
        <v>7.5008438976897907E-5</v>
      </c>
      <c r="E8" s="93">
        <f t="shared" si="1"/>
        <v>0.9999249915610231</v>
      </c>
    </row>
    <row r="9" spans="1:5" x14ac:dyDescent="0.2">
      <c r="B9">
        <v>3</v>
      </c>
      <c r="C9" s="93">
        <f>C7*E9</f>
        <v>7.4997186867079821E-5</v>
      </c>
      <c r="D9" s="93">
        <f t="shared" si="0"/>
        <v>1.5001125168787806E-4</v>
      </c>
      <c r="E9" s="93">
        <f t="shared" si="1"/>
        <v>0.9998499887483121</v>
      </c>
    </row>
    <row r="10" spans="1:5" x14ac:dyDescent="0.2">
      <c r="B10">
        <v>4</v>
      </c>
      <c r="C10" s="93">
        <f>C7*E10</f>
        <v>7.4991561445165262E-5</v>
      </c>
      <c r="D10" s="93">
        <f t="shared" si="0"/>
        <v>2.2500843855495788E-4</v>
      </c>
      <c r="E10" s="93">
        <f t="shared" si="1"/>
        <v>0.999774991561445</v>
      </c>
    </row>
    <row r="11" spans="1:5" x14ac:dyDescent="0.2">
      <c r="B11">
        <v>5</v>
      </c>
      <c r="C11" s="93">
        <f>C7*E11</f>
        <v>7.4985936445204828E-5</v>
      </c>
      <c r="D11" s="93">
        <f t="shared" si="0"/>
        <v>3.0000000000012314E-4</v>
      </c>
      <c r="E11" s="93">
        <f t="shared" si="1"/>
        <v>0.99969999999999981</v>
      </c>
    </row>
    <row r="12" spans="1:5" x14ac:dyDescent="0.2">
      <c r="B12">
        <v>6</v>
      </c>
      <c r="C12" s="93">
        <f>C7*E12</f>
        <v>7.4980311867166847E-5</v>
      </c>
      <c r="D12" s="93">
        <f t="shared" si="0"/>
        <v>3.7498593644532795E-4</v>
      </c>
      <c r="E12" s="93">
        <f t="shared" si="1"/>
        <v>0.99962501406355464</v>
      </c>
    </row>
    <row r="13" spans="1:5" x14ac:dyDescent="0.2">
      <c r="B13">
        <v>7</v>
      </c>
      <c r="C13" s="93">
        <f>C7*E13</f>
        <v>7.49746877110197E-5</v>
      </c>
      <c r="D13" s="93">
        <f t="shared" si="0"/>
        <v>4.499662483124948E-4</v>
      </c>
      <c r="E13" s="93">
        <f t="shared" si="1"/>
        <v>0.99955003375168749</v>
      </c>
    </row>
    <row r="14" spans="1:5" x14ac:dyDescent="0.2">
      <c r="B14">
        <v>8</v>
      </c>
      <c r="C14" s="93">
        <f>C7*E14</f>
        <v>7.4969063976731715E-5</v>
      </c>
      <c r="D14" s="93">
        <f t="shared" si="0"/>
        <v>5.2494093602351456E-4</v>
      </c>
      <c r="E14" s="93">
        <f t="shared" si="1"/>
        <v>0.99947505906397649</v>
      </c>
    </row>
    <row r="15" spans="1:5" x14ac:dyDescent="0.2">
      <c r="B15">
        <v>9</v>
      </c>
      <c r="C15" s="93">
        <f>C7*E15</f>
        <v>7.4963440664271261E-5</v>
      </c>
      <c r="D15" s="93">
        <f t="shared" si="0"/>
        <v>5.9991000000024627E-4</v>
      </c>
      <c r="E15" s="93">
        <f t="shared" si="1"/>
        <v>0.99940008999999974</v>
      </c>
    </row>
    <row r="16" spans="1:5" x14ac:dyDescent="0.2">
      <c r="B16">
        <v>10</v>
      </c>
      <c r="C16" s="93">
        <f>C7*E16</f>
        <v>7.4957817773606692E-5</v>
      </c>
      <c r="D16" s="93">
        <f t="shared" si="0"/>
        <v>6.7487344066451756E-4</v>
      </c>
      <c r="E16" s="93">
        <f t="shared" si="1"/>
        <v>0.99932512655933547</v>
      </c>
    </row>
    <row r="17" spans="2:5" x14ac:dyDescent="0.2">
      <c r="B17">
        <v>11</v>
      </c>
      <c r="C17" s="93">
        <f>C7*E17</f>
        <v>7.4952195304706378E-5</v>
      </c>
      <c r="D17" s="93">
        <f t="shared" si="0"/>
        <v>7.4983125843812426E-4</v>
      </c>
      <c r="E17" s="93">
        <f t="shared" si="1"/>
        <v>0.99925016874156192</v>
      </c>
    </row>
    <row r="18" spans="2:5" x14ac:dyDescent="0.2">
      <c r="B18">
        <v>12</v>
      </c>
      <c r="C18" s="93">
        <f>C7*E18</f>
        <v>7.4946573257538685E-5</v>
      </c>
      <c r="D18" s="93">
        <f t="shared" si="0"/>
        <v>8.2478345374283068E-4</v>
      </c>
      <c r="E18" s="93">
        <f t="shared" si="1"/>
        <v>0.99917521654625718</v>
      </c>
    </row>
    <row r="19" spans="2:5" x14ac:dyDescent="0.2">
      <c r="B19">
        <v>13</v>
      </c>
      <c r="C19" s="93">
        <f>C7*E19</f>
        <v>7.4940951632071969E-5</v>
      </c>
      <c r="D19" s="93">
        <f t="shared" si="0"/>
        <v>8.9973002700036934E-4</v>
      </c>
      <c r="E19" s="93">
        <f t="shared" si="1"/>
        <v>0.99910026997299961</v>
      </c>
    </row>
    <row r="20" spans="2:5" x14ac:dyDescent="0.2">
      <c r="B20">
        <v>14</v>
      </c>
      <c r="C20" s="93">
        <f>C7*E20</f>
        <v>7.4935330428274599E-5</v>
      </c>
      <c r="D20" s="93">
        <f t="shared" si="0"/>
        <v>9.7467097863244132E-4</v>
      </c>
      <c r="E20" s="93">
        <f t="shared" si="1"/>
        <v>0.99902532902136754</v>
      </c>
    </row>
    <row r="21" spans="2:5" x14ac:dyDescent="0.2">
      <c r="B21">
        <v>15</v>
      </c>
      <c r="C21" s="93">
        <f>C7*E21</f>
        <v>7.4929709646114957E-5</v>
      </c>
      <c r="D21" s="93">
        <f t="shared" si="0"/>
        <v>1.0496063090607158E-3</v>
      </c>
      <c r="E21" s="93">
        <f t="shared" si="1"/>
        <v>0.9989503936909393</v>
      </c>
    </row>
    <row r="22" spans="2:5" x14ac:dyDescent="0.2">
      <c r="B22">
        <v>16</v>
      </c>
      <c r="C22" s="93">
        <f>C7*E22</f>
        <v>7.492408928556141E-5</v>
      </c>
      <c r="D22" s="93">
        <f t="shared" si="0"/>
        <v>1.1245360187068308E-3</v>
      </c>
      <c r="E22" s="93">
        <f t="shared" si="1"/>
        <v>0.99887546398129323</v>
      </c>
    </row>
    <row r="23" spans="2:5" x14ac:dyDescent="0.2">
      <c r="B23">
        <v>17</v>
      </c>
      <c r="C23" s="93">
        <f>C7*E23</f>
        <v>7.4918469346582341E-5</v>
      </c>
      <c r="D23" s="93">
        <f t="shared" si="0"/>
        <v>1.1994601079923922E-3</v>
      </c>
      <c r="E23" s="93">
        <f t="shared" si="1"/>
        <v>0.99880053989200768</v>
      </c>
    </row>
    <row r="24" spans="2:5" x14ac:dyDescent="0.2">
      <c r="B24">
        <v>18</v>
      </c>
      <c r="C24" s="93">
        <f>C7*E24</f>
        <v>7.4912849829146118E-5</v>
      </c>
      <c r="D24" s="93">
        <f t="shared" si="0"/>
        <v>1.2743785773389746E-3</v>
      </c>
      <c r="E24" s="93">
        <f t="shared" si="1"/>
        <v>0.99872562142266108</v>
      </c>
    </row>
    <row r="25" spans="2:5" x14ac:dyDescent="0.2">
      <c r="B25">
        <v>19</v>
      </c>
      <c r="C25" s="93">
        <f>C7*E25</f>
        <v>7.490723073322111E-5</v>
      </c>
      <c r="D25" s="93">
        <f t="shared" si="0"/>
        <v>1.3492914271681208E-3</v>
      </c>
      <c r="E25" s="93">
        <f t="shared" si="1"/>
        <v>0.99865070857283189</v>
      </c>
    </row>
    <row r="26" spans="2:5" x14ac:dyDescent="0.2">
      <c r="B26">
        <v>20</v>
      </c>
      <c r="C26" s="93">
        <f>C7*E26</f>
        <v>7.4901612058775739E-5</v>
      </c>
      <c r="D26" s="93">
        <f t="shared" si="0"/>
        <v>1.4241986579013419E-3</v>
      </c>
      <c r="E26" s="93">
        <f t="shared" si="1"/>
        <v>0.99857580134209867</v>
      </c>
    </row>
    <row r="27" spans="2:5" x14ac:dyDescent="0.2">
      <c r="B27">
        <v>21</v>
      </c>
      <c r="C27" s="93">
        <f>C7*E27</f>
        <v>7.4895993805778347E-5</v>
      </c>
      <c r="D27" s="93">
        <f t="shared" si="0"/>
        <v>1.4991002699601176E-3</v>
      </c>
      <c r="E27" s="93">
        <f t="shared" si="1"/>
        <v>0.99850089973003986</v>
      </c>
    </row>
    <row r="28" spans="2:5" x14ac:dyDescent="0.2">
      <c r="B28">
        <v>22</v>
      </c>
      <c r="C28" s="93">
        <f>C7*E28</f>
        <v>7.4890375974197355E-5</v>
      </c>
      <c r="D28" s="93">
        <f t="shared" si="0"/>
        <v>1.5739962637658959E-3</v>
      </c>
      <c r="E28" s="93">
        <f t="shared" si="1"/>
        <v>0.99842600373623414</v>
      </c>
    </row>
    <row r="29" spans="2:5" x14ac:dyDescent="0.2">
      <c r="B29">
        <v>23</v>
      </c>
      <c r="C29" s="93">
        <f>C7*E29</f>
        <v>7.4884758564001147E-5</v>
      </c>
      <c r="D29" s="93">
        <f t="shared" si="0"/>
        <v>1.6488866397400932E-3</v>
      </c>
      <c r="E29" s="93">
        <f t="shared" si="1"/>
        <v>0.99835111336025995</v>
      </c>
    </row>
    <row r="30" spans="2:5" x14ac:dyDescent="0.2">
      <c r="B30">
        <v>24</v>
      </c>
      <c r="C30" s="93">
        <f>C7*E30</f>
        <v>7.487914157515809E-5</v>
      </c>
      <c r="D30" s="93">
        <f t="shared" si="0"/>
        <v>1.7237713983040944E-3</v>
      </c>
      <c r="E30" s="93">
        <f t="shared" si="1"/>
        <v>0.99827622860169596</v>
      </c>
    </row>
    <row r="31" spans="2:5" x14ac:dyDescent="0.2">
      <c r="B31">
        <v>25</v>
      </c>
      <c r="C31" s="93">
        <f>C7*E31</f>
        <v>7.4873525007636621E-5</v>
      </c>
      <c r="D31" s="93">
        <f t="shared" si="0"/>
        <v>1.7986505398792526E-3</v>
      </c>
      <c r="E31" s="93">
        <f t="shared" si="1"/>
        <v>0.99820134946012085</v>
      </c>
    </row>
    <row r="32" spans="2:5" x14ac:dyDescent="0.2">
      <c r="B32">
        <v>26</v>
      </c>
      <c r="C32" s="93">
        <f>C7*E32</f>
        <v>7.4867908861405094E-5</v>
      </c>
      <c r="D32" s="93">
        <f t="shared" si="0"/>
        <v>1.8735240648868892E-3</v>
      </c>
      <c r="E32" s="93">
        <f t="shared" si="1"/>
        <v>0.99812647593511317</v>
      </c>
    </row>
    <row r="33" spans="1:5" x14ac:dyDescent="0.2">
      <c r="B33">
        <v>27</v>
      </c>
      <c r="C33" s="93">
        <f>C7*E33</f>
        <v>7.4862293136431933E-5</v>
      </c>
      <c r="D33" s="93">
        <f t="shared" si="0"/>
        <v>1.9483919737482943E-3</v>
      </c>
      <c r="E33" s="93">
        <f t="shared" si="1"/>
        <v>0.99805160802625181</v>
      </c>
    </row>
    <row r="34" spans="1:5" x14ac:dyDescent="0.2">
      <c r="B34">
        <v>28</v>
      </c>
      <c r="C34" s="93">
        <f>C7*E34</f>
        <v>7.4856677832685546E-5</v>
      </c>
      <c r="D34" s="93">
        <f t="shared" si="0"/>
        <v>2.0232542668847261E-3</v>
      </c>
      <c r="E34" s="93">
        <f t="shared" si="1"/>
        <v>0.99797674573311534</v>
      </c>
    </row>
    <row r="35" spans="1:5" x14ac:dyDescent="0.2">
      <c r="B35">
        <v>29</v>
      </c>
      <c r="C35" s="93">
        <f>C7*E35</f>
        <v>7.4851062950134314E-5</v>
      </c>
      <c r="D35" s="93">
        <f t="shared" si="0"/>
        <v>2.0981109447174118E-3</v>
      </c>
      <c r="E35" s="93">
        <f t="shared" si="1"/>
        <v>0.99790188905528265</v>
      </c>
    </row>
    <row r="36" spans="1:5" x14ac:dyDescent="0.2">
      <c r="B36">
        <v>30</v>
      </c>
      <c r="C36" s="93">
        <f>C7*E36</f>
        <v>7.4845448488746662E-5</v>
      </c>
      <c r="D36" s="93">
        <f t="shared" si="0"/>
        <v>2.1729620076675459E-3</v>
      </c>
      <c r="E36" s="93">
        <f t="shared" si="1"/>
        <v>0.99782703799233252</v>
      </c>
    </row>
    <row r="37" spans="1:5" x14ac:dyDescent="0.2">
      <c r="A37" s="1"/>
      <c r="B37" s="1"/>
      <c r="C37" s="1"/>
      <c r="D37" s="1"/>
      <c r="E37" s="1"/>
    </row>
    <row r="38" spans="1:5" x14ac:dyDescent="0.2">
      <c r="A38" s="1"/>
      <c r="B38" s="1"/>
      <c r="C38" s="1"/>
      <c r="D38" s="1"/>
      <c r="E38" s="1"/>
    </row>
    <row r="39" spans="1:5" x14ac:dyDescent="0.2">
      <c r="A39" s="1"/>
      <c r="B39" s="1"/>
      <c r="C39" s="1"/>
      <c r="D39" s="1"/>
      <c r="E39" s="1"/>
    </row>
    <row r="40" spans="1:5" x14ac:dyDescent="0.2">
      <c r="A40" s="1"/>
      <c r="B40" s="1"/>
      <c r="C40" s="1"/>
      <c r="D40" s="1"/>
      <c r="E40" s="1"/>
    </row>
    <row r="41" spans="1:5" x14ac:dyDescent="0.2">
      <c r="A41" s="1"/>
      <c r="B41" s="1"/>
      <c r="C41" s="1"/>
      <c r="D41" s="1"/>
      <c r="E41" s="1"/>
    </row>
    <row r="42" spans="1:5" x14ac:dyDescent="0.2">
      <c r="A42" s="1"/>
      <c r="B42" s="1"/>
      <c r="C42" s="1"/>
      <c r="D42" s="1"/>
      <c r="E42" s="1"/>
    </row>
    <row r="43" spans="1:5" x14ac:dyDescent="0.2">
      <c r="A43" s="1"/>
      <c r="B43" s="1"/>
      <c r="C43" s="1"/>
      <c r="D43" s="1"/>
      <c r="E43" s="1"/>
    </row>
    <row r="44" spans="1:5" x14ac:dyDescent="0.2">
      <c r="A44" s="1"/>
      <c r="B44" s="1"/>
      <c r="C44" s="1"/>
      <c r="D44" s="1"/>
      <c r="E44" s="1"/>
    </row>
    <row r="45" spans="1:5" x14ac:dyDescent="0.2">
      <c r="A45" s="1"/>
      <c r="B45" s="1"/>
      <c r="C45" s="1"/>
      <c r="D45" s="1"/>
      <c r="E45" s="1"/>
    </row>
    <row r="46" spans="1:5" x14ac:dyDescent="0.2">
      <c r="A46" s="1"/>
      <c r="B46" s="1"/>
      <c r="C46" s="1"/>
      <c r="D46" s="1"/>
      <c r="E46" s="1"/>
    </row>
    <row r="47" spans="1:5" x14ac:dyDescent="0.2">
      <c r="A47" s="1"/>
      <c r="B47" s="1"/>
      <c r="C47" s="1"/>
      <c r="D47" s="1"/>
      <c r="E47" s="1"/>
    </row>
    <row r="48" spans="1:5" x14ac:dyDescent="0.2">
      <c r="A48" s="1"/>
      <c r="B48" s="1"/>
      <c r="C48" s="1"/>
      <c r="D48" s="1"/>
      <c r="E48" s="1"/>
    </row>
    <row r="49" spans="1:5" x14ac:dyDescent="0.2">
      <c r="A49" s="1"/>
      <c r="B49" s="1"/>
      <c r="C49" s="1"/>
      <c r="D49" s="1"/>
      <c r="E49" s="1"/>
    </row>
    <row r="50" spans="1:5" x14ac:dyDescent="0.2">
      <c r="A50" s="1"/>
      <c r="B50" s="1"/>
      <c r="C50" s="1"/>
      <c r="D50" s="1"/>
      <c r="E50" s="1"/>
    </row>
    <row r="51" spans="1:5" x14ac:dyDescent="0.2">
      <c r="A51" s="1"/>
      <c r="B51" s="1"/>
      <c r="C51" s="1"/>
      <c r="D51" s="1"/>
      <c r="E51" s="1"/>
    </row>
    <row r="52" spans="1:5" x14ac:dyDescent="0.2">
      <c r="A52" s="1"/>
      <c r="B52" s="1"/>
      <c r="C52" s="1"/>
      <c r="D52" s="1"/>
      <c r="E52" s="1"/>
    </row>
    <row r="53" spans="1:5" x14ac:dyDescent="0.2">
      <c r="A53" s="1"/>
      <c r="B53" s="1"/>
      <c r="C53" s="1"/>
      <c r="D53" s="1"/>
      <c r="E53" s="1"/>
    </row>
    <row r="54" spans="1:5" x14ac:dyDescent="0.2">
      <c r="A54" s="1"/>
      <c r="B54" s="1"/>
      <c r="C54" s="1"/>
      <c r="D54" s="1"/>
      <c r="E54" s="1"/>
    </row>
    <row r="55" spans="1:5" x14ac:dyDescent="0.2">
      <c r="A55" s="1"/>
      <c r="B55" s="1"/>
      <c r="C55" s="1"/>
      <c r="D55" s="1"/>
      <c r="E55" s="1"/>
    </row>
    <row r="56" spans="1:5" x14ac:dyDescent="0.2">
      <c r="A56" s="1"/>
      <c r="B56" s="1"/>
      <c r="C56" s="1"/>
      <c r="D56" s="1"/>
      <c r="E56" s="1"/>
    </row>
    <row r="57" spans="1:5" x14ac:dyDescent="0.2">
      <c r="A57" s="1"/>
      <c r="B57" s="1"/>
      <c r="C57" s="1"/>
      <c r="D57" s="1"/>
      <c r="E57" s="1"/>
    </row>
  </sheetData>
  <mergeCells count="1">
    <mergeCell ref="A1:E1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8" orientation="landscape" r:id="rId1"/>
  <headerFooter alignWithMargins="0"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N39"/>
  <sheetViews>
    <sheetView showGridLines="0" workbookViewId="0">
      <selection activeCell="B14" sqref="B14"/>
    </sheetView>
  </sheetViews>
  <sheetFormatPr baseColWidth="10" defaultRowHeight="12.75" x14ac:dyDescent="0.2"/>
  <cols>
    <col min="1" max="1" width="67" bestFit="1" customWidth="1"/>
    <col min="2" max="2" width="12.42578125" style="10" bestFit="1" customWidth="1"/>
    <col min="3" max="3" width="33.28515625" style="10" customWidth="1"/>
  </cols>
  <sheetData>
    <row r="1" spans="1:3" x14ac:dyDescent="0.2">
      <c r="A1" s="41" t="s">
        <v>0</v>
      </c>
      <c r="B1" s="94">
        <f>'Actualisation investissements'!D5</f>
        <v>3000</v>
      </c>
      <c r="C1" s="42"/>
    </row>
    <row r="2" spans="1:3" x14ac:dyDescent="0.2">
      <c r="A2" s="43" t="s">
        <v>2</v>
      </c>
      <c r="B2" s="55">
        <f>B5/B1</f>
        <v>10</v>
      </c>
      <c r="C2" s="31"/>
    </row>
    <row r="3" spans="1:3" x14ac:dyDescent="0.2">
      <c r="A3" s="43" t="s">
        <v>3</v>
      </c>
      <c r="B3" s="56">
        <f>'Données et Résultats'!B6</f>
        <v>1</v>
      </c>
      <c r="C3" s="44" t="s">
        <v>34</v>
      </c>
    </row>
    <row r="4" spans="1:3" x14ac:dyDescent="0.2">
      <c r="A4" s="43"/>
      <c r="B4" s="55"/>
      <c r="C4" s="45">
        <f>'Données et Résultats'!B9</f>
        <v>1.37217312686988E-3</v>
      </c>
    </row>
    <row r="5" spans="1:3" x14ac:dyDescent="0.2">
      <c r="A5" s="43" t="s">
        <v>4</v>
      </c>
      <c r="B5" s="54">
        <f>'Données et Résultats'!B5</f>
        <v>30000</v>
      </c>
      <c r="C5" s="31"/>
    </row>
    <row r="6" spans="1:3" x14ac:dyDescent="0.2">
      <c r="A6" s="43" t="s">
        <v>9</v>
      </c>
      <c r="B6" s="70">
        <f>'Probabilités de défaillance'!D10</f>
        <v>2.2500843855495788E-4</v>
      </c>
      <c r="C6" s="31"/>
    </row>
    <row r="7" spans="1:3" x14ac:dyDescent="0.2">
      <c r="A7" s="43" t="s">
        <v>12</v>
      </c>
      <c r="B7" s="70">
        <f>1-B6</f>
        <v>0.999774991561445</v>
      </c>
      <c r="C7" s="31"/>
    </row>
    <row r="8" spans="1:3" x14ac:dyDescent="0.2">
      <c r="A8" s="23"/>
      <c r="B8" s="57"/>
      <c r="C8" s="31"/>
    </row>
    <row r="9" spans="1:3" x14ac:dyDescent="0.2">
      <c r="A9" s="95" t="s">
        <v>47</v>
      </c>
      <c r="B9" s="92"/>
      <c r="C9" s="92"/>
    </row>
    <row r="10" spans="1:3" x14ac:dyDescent="0.2">
      <c r="A10" s="95" t="s">
        <v>48</v>
      </c>
      <c r="B10" s="95">
        <f>'Données et Résultats'!B10</f>
        <v>3000</v>
      </c>
      <c r="C10"/>
    </row>
    <row r="11" spans="1:3" x14ac:dyDescent="0.2">
      <c r="A11" s="95" t="s">
        <v>49</v>
      </c>
      <c r="B11" s="95">
        <f>'Données et Résultats'!B14</f>
        <v>9</v>
      </c>
      <c r="C11" s="95" t="s">
        <v>50</v>
      </c>
    </row>
    <row r="12" spans="1:3" x14ac:dyDescent="0.2">
      <c r="A12" s="95" t="s">
        <v>51</v>
      </c>
      <c r="B12" s="95">
        <f>'Données et Résultats'!B13</f>
        <v>8</v>
      </c>
      <c r="C12" s="95">
        <f>'Données et Résultats'!B11</f>
        <v>0</v>
      </c>
    </row>
    <row r="13" spans="1:3" x14ac:dyDescent="0.2">
      <c r="A13" s="95" t="s">
        <v>52</v>
      </c>
      <c r="B13" s="95">
        <f>B11+B12+1</f>
        <v>18</v>
      </c>
      <c r="C13"/>
    </row>
    <row r="14" spans="1:3" x14ac:dyDescent="0.2">
      <c r="A14" s="95" t="s">
        <v>53</v>
      </c>
      <c r="B14" s="1">
        <f>C4-C12</f>
        <v>1.37217312686988E-3</v>
      </c>
      <c r="C14"/>
    </row>
    <row r="15" spans="1:3" x14ac:dyDescent="0.2">
      <c r="A15" s="95" t="s">
        <v>54</v>
      </c>
      <c r="B15" s="1">
        <f>B10/B1</f>
        <v>1</v>
      </c>
      <c r="C15"/>
    </row>
    <row r="16" spans="1:3" s="2" customFormat="1" x14ac:dyDescent="0.2">
      <c r="A16"/>
      <c r="B16"/>
      <c r="C16"/>
    </row>
    <row r="17" spans="1:3" x14ac:dyDescent="0.2">
      <c r="B17"/>
      <c r="C17"/>
    </row>
    <row r="18" spans="1:3" x14ac:dyDescent="0.2">
      <c r="B18"/>
      <c r="C18"/>
    </row>
    <row r="19" spans="1:3" x14ac:dyDescent="0.2">
      <c r="A19" s="92"/>
      <c r="B19" s="92"/>
      <c r="C19" s="92"/>
    </row>
    <row r="20" spans="1:3" x14ac:dyDescent="0.2">
      <c r="B20"/>
      <c r="C20"/>
    </row>
    <row r="21" spans="1:3" x14ac:dyDescent="0.2">
      <c r="B21"/>
      <c r="C21"/>
    </row>
    <row r="22" spans="1:3" x14ac:dyDescent="0.2">
      <c r="B22"/>
      <c r="C22"/>
    </row>
    <row r="23" spans="1:3" x14ac:dyDescent="0.2">
      <c r="B23"/>
      <c r="C23"/>
    </row>
    <row r="24" spans="1:3" x14ac:dyDescent="0.2">
      <c r="B24"/>
      <c r="C24"/>
    </row>
    <row r="25" spans="1:3" x14ac:dyDescent="0.2">
      <c r="B25"/>
      <c r="C25"/>
    </row>
    <row r="26" spans="1:3" x14ac:dyDescent="0.2">
      <c r="B26"/>
      <c r="C26"/>
    </row>
    <row r="27" spans="1:3" s="2" customFormat="1" x14ac:dyDescent="0.2">
      <c r="A27"/>
      <c r="B27"/>
      <c r="C27"/>
    </row>
    <row r="28" spans="1:3" x14ac:dyDescent="0.2">
      <c r="B28"/>
      <c r="C28"/>
    </row>
    <row r="29" spans="1:3" x14ac:dyDescent="0.2">
      <c r="B29"/>
      <c r="C29"/>
    </row>
    <row r="30" spans="1:3" ht="19.5" x14ac:dyDescent="0.3">
      <c r="A30" s="74"/>
      <c r="B30" s="75"/>
      <c r="C30" s="77"/>
    </row>
    <row r="31" spans="1:3" ht="19.5" x14ac:dyDescent="0.3">
      <c r="A31" s="74"/>
      <c r="B31" s="76"/>
      <c r="C31" s="63"/>
    </row>
    <row r="32" spans="1:3" ht="19.5" x14ac:dyDescent="0.3">
      <c r="A32" s="78"/>
      <c r="B32" s="79"/>
      <c r="C32" s="63"/>
    </row>
    <row r="33" spans="1:14" ht="19.5" x14ac:dyDescent="0.3">
      <c r="A33" s="62"/>
      <c r="B33" s="76"/>
      <c r="C33" s="63"/>
    </row>
    <row r="34" spans="1:14" ht="19.5" x14ac:dyDescent="0.3">
      <c r="A34" s="80"/>
      <c r="B34" s="81"/>
      <c r="C34" s="82"/>
    </row>
    <row r="35" spans="1:14" ht="19.5" x14ac:dyDescent="0.3">
      <c r="A35" s="62"/>
      <c r="B35" s="76"/>
      <c r="C35" s="63"/>
    </row>
    <row r="36" spans="1:14" ht="19.5" x14ac:dyDescent="0.3">
      <c r="A36" s="78"/>
      <c r="B36" s="79"/>
      <c r="C36" s="63"/>
    </row>
    <row r="38" spans="1:14" x14ac:dyDescent="0.2">
      <c r="A38" s="5"/>
      <c r="H38" s="7"/>
      <c r="N38" s="8"/>
    </row>
    <row r="39" spans="1:14" x14ac:dyDescent="0.2">
      <c r="H39" s="7"/>
      <c r="I39" s="1"/>
      <c r="K39" s="3"/>
      <c r="M39" s="3"/>
      <c r="N39" s="8"/>
    </row>
  </sheetData>
  <phoneticPr fontId="0" type="noConversion"/>
  <printOptions horizontalCentered="1" verticalCentered="1" headings="1" gridLines="1"/>
  <pageMargins left="0" right="0" top="0" bottom="0" header="0.51181102362204722" footer="0.51181102362204722"/>
  <pageSetup paperSize="8" firstPageNumber="0" orientation="landscape" r:id="rId1"/>
  <headerFooter alignWithMargins="0">
    <oddHeader>&amp;F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M21"/>
  <sheetViews>
    <sheetView workbookViewId="0">
      <selection activeCell="D3" sqref="D3"/>
    </sheetView>
  </sheetViews>
  <sheetFormatPr baseColWidth="10" defaultRowHeight="12.75" x14ac:dyDescent="0.2"/>
  <cols>
    <col min="1" max="1" width="14.5703125" bestFit="1" customWidth="1"/>
    <col min="5" max="5" width="16.7109375" customWidth="1"/>
    <col min="10" max="10" width="18.28515625" customWidth="1"/>
    <col min="11" max="11" width="22.28515625" customWidth="1"/>
    <col min="12" max="12" width="25.42578125" customWidth="1"/>
    <col min="13" max="13" width="29.28515625" customWidth="1"/>
  </cols>
  <sheetData>
    <row r="1" spans="1:13" ht="128.25" customHeight="1" thickBot="1" x14ac:dyDescent="0.25">
      <c r="A1" s="85" t="s">
        <v>29</v>
      </c>
      <c r="B1" s="86" t="s">
        <v>24</v>
      </c>
      <c r="C1" s="87" t="s">
        <v>11</v>
      </c>
      <c r="D1" s="86" t="s">
        <v>26</v>
      </c>
      <c r="E1" s="88" t="s">
        <v>7</v>
      </c>
      <c r="F1" s="89" t="s">
        <v>27</v>
      </c>
      <c r="G1" s="90" t="s">
        <v>28</v>
      </c>
      <c r="H1" s="87" t="s">
        <v>25</v>
      </c>
      <c r="I1" s="91" t="s">
        <v>32</v>
      </c>
      <c r="J1" s="91" t="s">
        <v>30</v>
      </c>
      <c r="K1" s="91" t="s">
        <v>39</v>
      </c>
      <c r="L1" s="91" t="s">
        <v>31</v>
      </c>
      <c r="M1" s="91" t="s">
        <v>38</v>
      </c>
    </row>
    <row r="2" spans="1:13" x14ac:dyDescent="0.2">
      <c r="A2" s="95" t="s">
        <v>55</v>
      </c>
      <c r="B2" s="95">
        <v>0</v>
      </c>
      <c r="C2" s="95" t="s">
        <v>40</v>
      </c>
      <c r="D2" s="93">
        <f>'Données et Résultats'!B5</f>
        <v>30000</v>
      </c>
      <c r="E2" s="93">
        <v>0</v>
      </c>
      <c r="F2" s="93">
        <f>'Probabilités de défaillance'!C3</f>
        <v>0</v>
      </c>
      <c r="G2" s="93">
        <f>'Probabilités de défaillance'!D3</f>
        <v>0</v>
      </c>
      <c r="H2" s="93">
        <f t="shared" ref="H2:H19" si="0">1/((1+act)^B2)</f>
        <v>1</v>
      </c>
      <c r="I2" s="1">
        <v>0</v>
      </c>
    </row>
    <row r="3" spans="1:13" x14ac:dyDescent="0.2">
      <c r="A3" s="95" t="s">
        <v>56</v>
      </c>
      <c r="B3" s="95">
        <v>1</v>
      </c>
      <c r="C3" t="s">
        <v>57</v>
      </c>
      <c r="D3" s="93">
        <f>D2*(1+'Données et Résultats'!B11)-E3</f>
        <v>30000</v>
      </c>
      <c r="E3" s="93">
        <v>0</v>
      </c>
      <c r="F3" s="93">
        <f>'Probabilités de défaillance'!C4</f>
        <v>0</v>
      </c>
      <c r="G3" s="93">
        <f>'Probabilités de défaillance'!D4</f>
        <v>0</v>
      </c>
      <c r="H3" s="93">
        <f t="shared" si="0"/>
        <v>0.99862970715215182</v>
      </c>
      <c r="I3">
        <v>0</v>
      </c>
      <c r="J3" s="93">
        <f t="shared" ref="J3:J19" si="1">F2*D2*0.75</f>
        <v>0</v>
      </c>
      <c r="K3" s="93">
        <f t="shared" ref="K3:K19" si="2">G3*D2*0.75*I3</f>
        <v>0</v>
      </c>
      <c r="L3" s="93">
        <f t="shared" ref="L3:L19" si="3">(1-G3)*(irefmaj-I3)*D2</f>
        <v>41.165193806096397</v>
      </c>
      <c r="M3" s="93">
        <f t="shared" ref="M3:M19" si="4">(L3+J3+K3)*H3</f>
        <v>41.108785435443622</v>
      </c>
    </row>
    <row r="4" spans="1:13" x14ac:dyDescent="0.2">
      <c r="A4" t="s">
        <v>56</v>
      </c>
      <c r="B4">
        <v>2</v>
      </c>
      <c r="C4" t="s">
        <v>58</v>
      </c>
      <c r="D4" s="93">
        <f>D3*(1+'Données et Résultats'!B11)-E4</f>
        <v>30000</v>
      </c>
      <c r="E4" s="93">
        <v>0</v>
      </c>
      <c r="F4" s="93">
        <f>'Probabilités de défaillance'!C5</f>
        <v>0</v>
      </c>
      <c r="G4" s="93">
        <f>'Probabilités de défaillance'!D5</f>
        <v>0</v>
      </c>
      <c r="H4" s="93">
        <f t="shared" si="0"/>
        <v>0.99726129200679248</v>
      </c>
      <c r="I4">
        <v>0</v>
      </c>
      <c r="J4" s="93">
        <f t="shared" si="1"/>
        <v>0</v>
      </c>
      <c r="K4" s="93">
        <f t="shared" si="2"/>
        <v>0</v>
      </c>
      <c r="L4" s="93">
        <f t="shared" si="3"/>
        <v>41.165193806096397</v>
      </c>
      <c r="M4" s="93">
        <f t="shared" si="4"/>
        <v>41.052454360777702</v>
      </c>
    </row>
    <row r="5" spans="1:13" x14ac:dyDescent="0.2">
      <c r="A5" t="s">
        <v>56</v>
      </c>
      <c r="B5">
        <v>3</v>
      </c>
      <c r="C5" t="s">
        <v>59</v>
      </c>
      <c r="D5" s="93">
        <f>D4*(1+'Données et Résultats'!B11)-E5</f>
        <v>30000</v>
      </c>
      <c r="E5" s="93">
        <v>0</v>
      </c>
      <c r="F5" s="93">
        <f>'Probabilités de défaillance'!C6</f>
        <v>0</v>
      </c>
      <c r="G5" s="93">
        <f>'Probabilités de défaillance'!D6</f>
        <v>0</v>
      </c>
      <c r="H5" s="93">
        <f t="shared" si="0"/>
        <v>0.99589475199091981</v>
      </c>
      <c r="I5">
        <v>0</v>
      </c>
      <c r="J5" s="93">
        <f t="shared" si="1"/>
        <v>0</v>
      </c>
      <c r="K5" s="93">
        <f t="shared" si="2"/>
        <v>0</v>
      </c>
      <c r="L5" s="93">
        <f t="shared" si="3"/>
        <v>41.165193806096397</v>
      </c>
      <c r="M5" s="93">
        <f t="shared" si="4"/>
        <v>40.996200476180519</v>
      </c>
    </row>
    <row r="6" spans="1:13" x14ac:dyDescent="0.2">
      <c r="A6" t="s">
        <v>56</v>
      </c>
      <c r="B6">
        <v>4</v>
      </c>
      <c r="C6" t="s">
        <v>60</v>
      </c>
      <c r="D6" s="93">
        <f>D5*(1+'Données et Résultats'!B11)-E6</f>
        <v>30000</v>
      </c>
      <c r="E6" s="93">
        <v>0</v>
      </c>
      <c r="F6" s="93">
        <f>'Probabilités de défaillance'!C7</f>
        <v>7.5008438976897907E-5</v>
      </c>
      <c r="G6" s="93">
        <f>'Probabilités de défaillance'!D7</f>
        <v>0</v>
      </c>
      <c r="H6" s="93">
        <f t="shared" si="0"/>
        <v>0.99453008453505709</v>
      </c>
      <c r="I6">
        <v>0</v>
      </c>
      <c r="J6" s="93">
        <f t="shared" si="1"/>
        <v>0</v>
      </c>
      <c r="K6" s="93">
        <f t="shared" si="2"/>
        <v>0</v>
      </c>
      <c r="L6" s="93">
        <f t="shared" si="3"/>
        <v>41.165193806096397</v>
      </c>
      <c r="M6" s="93">
        <f t="shared" si="4"/>
        <v>40.940023675879061</v>
      </c>
    </row>
    <row r="7" spans="1:13" x14ac:dyDescent="0.2">
      <c r="A7" t="s">
        <v>56</v>
      </c>
      <c r="B7">
        <v>5</v>
      </c>
      <c r="C7" t="s">
        <v>61</v>
      </c>
      <c r="D7" s="93">
        <f>D6*(1+'Données et Résultats'!B11)-E7</f>
        <v>30000</v>
      </c>
      <c r="E7" s="93">
        <v>0</v>
      </c>
      <c r="F7" s="93">
        <f>'Probabilités de défaillance'!C8</f>
        <v>7.5002812710980149E-5</v>
      </c>
      <c r="G7" s="93">
        <f>'Probabilités de défaillance'!D8</f>
        <v>7.5008438976897907E-5</v>
      </c>
      <c r="H7" s="93">
        <f t="shared" si="0"/>
        <v>0.99316728707324886</v>
      </c>
      <c r="I7">
        <v>0</v>
      </c>
      <c r="J7" s="93">
        <f t="shared" si="1"/>
        <v>1.6876898769802029</v>
      </c>
      <c r="K7" s="93">
        <f t="shared" si="2"/>
        <v>0</v>
      </c>
      <c r="L7" s="93">
        <f t="shared" si="3"/>
        <v>41.162106069168829</v>
      </c>
      <c r="M7" s="93">
        <f t="shared" si="4"/>
        <v>42.557015591479129</v>
      </c>
    </row>
    <row r="8" spans="1:13" x14ac:dyDescent="0.2">
      <c r="A8" t="s">
        <v>56</v>
      </c>
      <c r="B8">
        <v>6</v>
      </c>
      <c r="C8" t="s">
        <v>62</v>
      </c>
      <c r="D8" s="93">
        <f>D7*(1+'Données et Résultats'!B11)-E8</f>
        <v>30000</v>
      </c>
      <c r="E8" s="93">
        <v>0</v>
      </c>
      <c r="F8" s="93">
        <f>'Probabilités de défaillance'!C9</f>
        <v>7.4997186867079821E-5</v>
      </c>
      <c r="G8" s="93">
        <f>'Probabilités de défaillance'!D9</f>
        <v>1.5001125168787806E-4</v>
      </c>
      <c r="H8" s="93">
        <f t="shared" si="0"/>
        <v>0.99180635704305564</v>
      </c>
      <c r="I8">
        <v>0</v>
      </c>
      <c r="J8" s="93">
        <f t="shared" si="1"/>
        <v>1.6875632859970535</v>
      </c>
      <c r="K8" s="93">
        <f t="shared" si="2"/>
        <v>0</v>
      </c>
      <c r="L8" s="93">
        <f t="shared" si="3"/>
        <v>41.159018563847575</v>
      </c>
      <c r="M8" s="93">
        <f t="shared" si="4"/>
        <v>42.495512256241504</v>
      </c>
    </row>
    <row r="9" spans="1:13" x14ac:dyDescent="0.2">
      <c r="A9" t="s">
        <v>56</v>
      </c>
      <c r="B9">
        <v>7</v>
      </c>
      <c r="C9" t="s">
        <v>63</v>
      </c>
      <c r="D9" s="93">
        <f>D8*(1+'Données et Résultats'!B11)-E9</f>
        <v>30000</v>
      </c>
      <c r="E9" s="93">
        <v>0</v>
      </c>
      <c r="F9" s="93">
        <f>'Probabilités de défaillance'!C10</f>
        <v>7.4991561445165262E-5</v>
      </c>
      <c r="G9" s="93">
        <f>'Probabilités de défaillance'!D10</f>
        <v>2.2500843855495788E-4</v>
      </c>
      <c r="H9" s="93">
        <f t="shared" si="0"/>
        <v>0.99044729188554936</v>
      </c>
      <c r="I9">
        <v>0</v>
      </c>
      <c r="J9" s="93">
        <f t="shared" si="1"/>
        <v>1.6874367045092959</v>
      </c>
      <c r="K9" s="93">
        <f t="shared" si="2"/>
        <v>0</v>
      </c>
      <c r="L9" s="93">
        <f t="shared" si="3"/>
        <v>41.155931290115277</v>
      </c>
      <c r="M9" s="93">
        <f t="shared" si="4"/>
        <v>42.434097805531927</v>
      </c>
    </row>
    <row r="10" spans="1:13" x14ac:dyDescent="0.2">
      <c r="A10" t="s">
        <v>56</v>
      </c>
      <c r="B10">
        <v>8</v>
      </c>
      <c r="C10" t="s">
        <v>64</v>
      </c>
      <c r="D10" s="93">
        <f>D9*(1+'Données et Résultats'!B11)-E10</f>
        <v>30000</v>
      </c>
      <c r="E10" s="93">
        <v>0</v>
      </c>
      <c r="F10" s="93">
        <f>'Probabilités de défaillance'!C11</f>
        <v>7.4985936445204828E-5</v>
      </c>
      <c r="G10" s="93">
        <f>'Probabilités de défaillance'!D11</f>
        <v>3.0000000000012314E-4</v>
      </c>
      <c r="H10" s="93">
        <f t="shared" si="0"/>
        <v>0.98909008904530782</v>
      </c>
      <c r="I10">
        <v>0</v>
      </c>
      <c r="J10" s="93">
        <f t="shared" si="1"/>
        <v>1.6873101325162185</v>
      </c>
      <c r="K10" s="93">
        <f t="shared" si="2"/>
        <v>0</v>
      </c>
      <c r="L10" s="93">
        <f t="shared" si="3"/>
        <v>41.152844247954569</v>
      </c>
      <c r="M10" s="93">
        <f t="shared" si="4"/>
        <v>42.37277211089458</v>
      </c>
    </row>
    <row r="11" spans="1:13" x14ac:dyDescent="0.2">
      <c r="A11" t="s">
        <v>7</v>
      </c>
      <c r="B11">
        <v>9</v>
      </c>
      <c r="C11" t="s">
        <v>65</v>
      </c>
      <c r="D11" s="93">
        <f t="shared" ref="D11:D19" si="5">D10-E11</f>
        <v>20000</v>
      </c>
      <c r="E11" s="110">
        <f>'Données et Résultats'!$B$5/3</f>
        <v>10000</v>
      </c>
      <c r="F11" s="93">
        <f>'Probabilités de défaillance'!C12</f>
        <v>7.4980311867166847E-5</v>
      </c>
      <c r="G11" s="93">
        <f>'Probabilités de défaillance'!D12</f>
        <v>3.7498593644532795E-4</v>
      </c>
      <c r="H11" s="93">
        <f t="shared" si="0"/>
        <v>0.98773474597041155</v>
      </c>
      <c r="I11">
        <v>0</v>
      </c>
      <c r="J11" s="93">
        <f t="shared" si="1"/>
        <v>1.6871835700171085</v>
      </c>
      <c r="K11" s="93">
        <f t="shared" si="2"/>
        <v>0</v>
      </c>
      <c r="L11" s="93">
        <f t="shared" si="3"/>
        <v>41.149757437348072</v>
      </c>
      <c r="M11" s="93">
        <f t="shared" si="4"/>
        <v>42.311535044059355</v>
      </c>
    </row>
    <row r="12" spans="1:13" x14ac:dyDescent="0.2">
      <c r="A12" t="s">
        <v>7</v>
      </c>
      <c r="B12">
        <v>10</v>
      </c>
      <c r="C12" t="s">
        <v>66</v>
      </c>
      <c r="D12" s="93">
        <f t="shared" si="5"/>
        <v>20000</v>
      </c>
      <c r="E12" s="93">
        <v>0</v>
      </c>
      <c r="F12" s="93">
        <f>'Probabilités de défaillance'!C13</f>
        <v>7.49746877110197E-5</v>
      </c>
      <c r="G12" s="93">
        <f>'Probabilités de défaillance'!D13</f>
        <v>4.499662483124948E-4</v>
      </c>
      <c r="H12" s="93">
        <f t="shared" si="0"/>
        <v>0.9863812601124371</v>
      </c>
      <c r="I12">
        <v>0</v>
      </c>
      <c r="J12" s="93">
        <f t="shared" si="1"/>
        <v>1.1247046780075027</v>
      </c>
      <c r="K12" s="93">
        <f t="shared" si="2"/>
        <v>0</v>
      </c>
      <c r="L12" s="93">
        <f t="shared" si="3"/>
        <v>27.431113905518941</v>
      </c>
      <c r="M12" s="93">
        <f t="shared" si="4"/>
        <v>28.166924317960962</v>
      </c>
    </row>
    <row r="13" spans="1:13" x14ac:dyDescent="0.2">
      <c r="A13" t="s">
        <v>7</v>
      </c>
      <c r="B13">
        <v>11</v>
      </c>
      <c r="C13" t="s">
        <v>67</v>
      </c>
      <c r="D13" s="93">
        <f t="shared" si="5"/>
        <v>20000</v>
      </c>
      <c r="E13" s="93">
        <v>0</v>
      </c>
      <c r="F13" s="93">
        <f>'Probabilités de défaillance'!C14</f>
        <v>7.4969063976731715E-5</v>
      </c>
      <c r="G13" s="93">
        <f>'Probabilités de défaillance'!D14</f>
        <v>5.2494093602351456E-4</v>
      </c>
      <c r="H13" s="93">
        <f t="shared" si="0"/>
        <v>0.98502962892645363</v>
      </c>
      <c r="I13">
        <v>0</v>
      </c>
      <c r="J13" s="93">
        <f t="shared" si="1"/>
        <v>1.1246203156652956</v>
      </c>
      <c r="K13" s="93">
        <f t="shared" si="2"/>
        <v>0</v>
      </c>
      <c r="L13" s="93">
        <f t="shared" si="3"/>
        <v>27.429056340485491</v>
      </c>
      <c r="M13" s="93">
        <f t="shared" si="4"/>
        <v>28.126217521094151</v>
      </c>
    </row>
    <row r="14" spans="1:13" x14ac:dyDescent="0.2">
      <c r="A14" t="s">
        <v>7</v>
      </c>
      <c r="B14">
        <v>12</v>
      </c>
      <c r="C14" t="s">
        <v>68</v>
      </c>
      <c r="D14" s="93">
        <f t="shared" si="5"/>
        <v>20000</v>
      </c>
      <c r="E14" s="93">
        <v>0</v>
      </c>
      <c r="F14" s="93">
        <f>'Probabilités de défaillance'!C15</f>
        <v>7.4963440664271261E-5</v>
      </c>
      <c r="G14" s="93">
        <f>'Probabilités de défaillance'!D15</f>
        <v>5.9991000000024627E-4</v>
      </c>
      <c r="H14" s="93">
        <f t="shared" si="0"/>
        <v>0.9836798498710172</v>
      </c>
      <c r="I14">
        <v>0</v>
      </c>
      <c r="J14" s="93">
        <f t="shared" si="1"/>
        <v>1.1245359596509759</v>
      </c>
      <c r="K14" s="93">
        <f t="shared" si="2"/>
        <v>0</v>
      </c>
      <c r="L14" s="93">
        <f t="shared" si="3"/>
        <v>27.426998929786784</v>
      </c>
      <c r="M14" s="93">
        <f t="shared" si="4"/>
        <v>28.085569553629245</v>
      </c>
    </row>
    <row r="15" spans="1:13" x14ac:dyDescent="0.2">
      <c r="A15" t="s">
        <v>7</v>
      </c>
      <c r="B15">
        <v>13</v>
      </c>
      <c r="C15" t="s">
        <v>69</v>
      </c>
      <c r="D15" s="93">
        <f t="shared" si="5"/>
        <v>10000</v>
      </c>
      <c r="E15" s="110">
        <f>'Données et Résultats'!$B$5/3</f>
        <v>10000</v>
      </c>
      <c r="F15" s="93">
        <f>'Probabilités de défaillance'!C16</f>
        <v>7.4957817773606692E-5</v>
      </c>
      <c r="G15" s="93">
        <f>'Probabilités de défaillance'!D16</f>
        <v>6.7487344066451756E-4</v>
      </c>
      <c r="H15" s="93">
        <f t="shared" si="0"/>
        <v>0.98233192040816664</v>
      </c>
      <c r="I15">
        <v>0</v>
      </c>
      <c r="J15" s="93">
        <f t="shared" si="1"/>
        <v>1.1244516099640689</v>
      </c>
      <c r="K15" s="93">
        <f t="shared" si="2"/>
        <v>0</v>
      </c>
      <c r="L15" s="93">
        <f t="shared" si="3"/>
        <v>27.42494167341124</v>
      </c>
      <c r="M15" s="93">
        <f t="shared" si="4"/>
        <v>28.044980330546082</v>
      </c>
    </row>
    <row r="16" spans="1:13" x14ac:dyDescent="0.2">
      <c r="A16" t="s">
        <v>7</v>
      </c>
      <c r="B16">
        <v>14</v>
      </c>
      <c r="C16" t="s">
        <v>70</v>
      </c>
      <c r="D16" s="93">
        <f t="shared" si="5"/>
        <v>10000</v>
      </c>
      <c r="E16" s="93">
        <v>0</v>
      </c>
      <c r="F16" s="93">
        <f>'Probabilités de défaillance'!C17</f>
        <v>7.4952195304706378E-5</v>
      </c>
      <c r="G16" s="93">
        <f>'Probabilités de défaillance'!D17</f>
        <v>7.4983125843812426E-4</v>
      </c>
      <c r="H16" s="93">
        <f t="shared" si="0"/>
        <v>0.98098583800341821</v>
      </c>
      <c r="I16">
        <v>0</v>
      </c>
      <c r="J16" s="93">
        <f t="shared" si="1"/>
        <v>0.56218363330205023</v>
      </c>
      <c r="K16" s="93">
        <f t="shared" si="2"/>
        <v>0</v>
      </c>
      <c r="L16" s="93">
        <f t="shared" si="3"/>
        <v>13.711442285673641</v>
      </c>
      <c r="M16" s="93">
        <f t="shared" si="4"/>
        <v>14.002224883473678</v>
      </c>
    </row>
    <row r="17" spans="1:13" x14ac:dyDescent="0.2">
      <c r="A17" t="s">
        <v>7</v>
      </c>
      <c r="B17">
        <v>15</v>
      </c>
      <c r="C17" t="s">
        <v>71</v>
      </c>
      <c r="D17" s="93">
        <f t="shared" si="5"/>
        <v>10000</v>
      </c>
      <c r="E17" s="93">
        <v>0</v>
      </c>
      <c r="F17" s="93">
        <f>'Probabilités de défaillance'!C18</f>
        <v>7.4946573257538685E-5</v>
      </c>
      <c r="G17" s="93">
        <f>'Probabilités de défaillance'!D18</f>
        <v>8.2478345374283068E-4</v>
      </c>
      <c r="H17" s="93">
        <f t="shared" si="0"/>
        <v>0.97964160012576218</v>
      </c>
      <c r="I17">
        <v>0</v>
      </c>
      <c r="J17" s="93">
        <f t="shared" si="1"/>
        <v>0.56214146478529781</v>
      </c>
      <c r="K17" s="93">
        <f t="shared" si="2"/>
        <v>0</v>
      </c>
      <c r="L17" s="93">
        <f t="shared" si="3"/>
        <v>13.710413811791671</v>
      </c>
      <c r="M17" s="93">
        <f t="shared" si="4"/>
        <v>13.981988889029253</v>
      </c>
    </row>
    <row r="18" spans="1:13" x14ac:dyDescent="0.2">
      <c r="A18" t="s">
        <v>7</v>
      </c>
      <c r="B18">
        <v>16</v>
      </c>
      <c r="C18" t="s">
        <v>72</v>
      </c>
      <c r="D18" s="93">
        <f t="shared" si="5"/>
        <v>10000</v>
      </c>
      <c r="E18" s="93">
        <v>0</v>
      </c>
      <c r="F18" s="93">
        <f>'Probabilités de défaillance'!C19</f>
        <v>7.4940951632071969E-5</v>
      </c>
      <c r="G18" s="93">
        <f>'Probabilités de défaillance'!D19</f>
        <v>8.9973002700036934E-4</v>
      </c>
      <c r="H18" s="93">
        <f t="shared" si="0"/>
        <v>0.97829920424765504</v>
      </c>
      <c r="I18">
        <v>0</v>
      </c>
      <c r="J18" s="93">
        <f t="shared" si="1"/>
        <v>0.56209929943154013</v>
      </c>
      <c r="K18" s="93">
        <f t="shared" si="2"/>
        <v>0</v>
      </c>
      <c r="L18" s="93">
        <f t="shared" si="3"/>
        <v>13.709385415053921</v>
      </c>
      <c r="M18" s="93">
        <f t="shared" si="4"/>
        <v>13.9617821396137</v>
      </c>
    </row>
    <row r="19" spans="1:13" x14ac:dyDescent="0.2">
      <c r="A19" t="s">
        <v>7</v>
      </c>
      <c r="B19">
        <v>17</v>
      </c>
      <c r="C19" t="s">
        <v>73</v>
      </c>
      <c r="D19" s="93">
        <f t="shared" si="5"/>
        <v>0</v>
      </c>
      <c r="E19" s="110">
        <f>'Données et Résultats'!B5-'Tranche 1'!E11-'Tranche 1'!E15</f>
        <v>10000</v>
      </c>
      <c r="F19" s="93">
        <f>'Probabilités de défaillance'!C20</f>
        <v>7.4935330428274599E-5</v>
      </c>
      <c r="G19" s="93">
        <f>'Probabilités de défaillance'!D20</f>
        <v>9.7467097863244132E-4</v>
      </c>
      <c r="H19" s="93">
        <f t="shared" si="0"/>
        <v>0.97695864784501896</v>
      </c>
      <c r="I19">
        <v>0</v>
      </c>
      <c r="J19" s="93">
        <f t="shared" si="1"/>
        <v>0.56205713724053985</v>
      </c>
      <c r="K19" s="93">
        <f t="shared" si="2"/>
        <v>0</v>
      </c>
      <c r="L19" s="93">
        <f t="shared" si="3"/>
        <v>13.708357095454605</v>
      </c>
      <c r="M19" s="93">
        <f t="shared" si="4"/>
        <v>13.941604592962163</v>
      </c>
    </row>
    <row r="21" spans="1:13" x14ac:dyDescent="0.2">
      <c r="L21" t="s">
        <v>41</v>
      </c>
      <c r="M21" s="93">
        <f>SUM(M2:M19)</f>
        <v>544.57968898479646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Données et Résultats</vt:lpstr>
      <vt:lpstr>Actualisation investissements</vt:lpstr>
      <vt:lpstr>Probabilités de défaillance</vt:lpstr>
      <vt:lpstr>Descriptif de l'opération</vt:lpstr>
      <vt:lpstr>Tranche 1</vt:lpstr>
      <vt:lpstr>act</vt:lpstr>
      <vt:lpstr>iref</vt:lpstr>
      <vt:lpstr>irefmaj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ROVASIO Laurence</dc:creator>
  <cp:lastModifiedBy>Frederic BLANC</cp:lastModifiedBy>
  <cp:lastPrinted>2007-07-27T14:37:52Z</cp:lastPrinted>
  <dcterms:created xsi:type="dcterms:W3CDTF">2006-11-15T16:34:03Z</dcterms:created>
  <dcterms:modified xsi:type="dcterms:W3CDTF">2021-07-20T17:43:39Z</dcterms:modified>
</cp:coreProperties>
</file>