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I:\FRANCEAGRIMER\ENTITE\INTV\SIIF\U_AEE\Pôle plans d'investissement\4-planification écologique\0-guichets\2-serres\2-informatique\"/>
    </mc:Choice>
  </mc:AlternateContent>
  <workbookProtection workbookAlgorithmName="SHA-512" workbookHashValue="MwrwGRJhQURuGiARX1SCi21oQSywtXfBYUWyDhA5q/04yudRuhHsxnb1sLlJYaNqRFff0WK6jnoPh3WAwp/Dpg==" workbookSaltValue="YqAogkgbKDYrLVGHCipmfw==" workbookSpinCount="100000" lockStructure="1"/>
  <bookViews>
    <workbookView xWindow="0" yWindow="0" windowWidth="25200" windowHeight="11985"/>
  </bookViews>
  <sheets>
    <sheet name="Serre" sheetId="1" r:id="rId1"/>
    <sheet name="List" sheetId="2" state="hidden" r:id="rId2"/>
  </sheets>
  <definedNames>
    <definedName name="Faitage">List!$E$3:$E$9</definedName>
    <definedName name="nouveausite">List!$B$33:$B$36</definedName>
    <definedName name="oui">List!$A$2:$A$3</definedName>
    <definedName name="ParoiVerticale">List!$F$3:$F$16</definedName>
    <definedName name="type_serre">List!$B$3:$B$7</definedName>
    <definedName name="typeprojet">List!$B$31:$B$34</definedName>
    <definedName name="_xlnm.Print_Area" localSheetId="1">List!$A$1:$K$34</definedName>
    <definedName name="_xlnm.Print_Area" localSheetId="0">Serre!$A$1:$G$46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4" i="2" l="1"/>
  <c r="V4" i="2" l="1"/>
  <c r="Q4" i="2"/>
  <c r="U4" i="2"/>
  <c r="E42" i="1"/>
  <c r="B41" i="1"/>
  <c r="B42" i="1" s="1"/>
  <c r="J4" i="2" l="1"/>
  <c r="J5" i="2"/>
  <c r="J6" i="2"/>
  <c r="J7" i="2"/>
  <c r="J8" i="2"/>
  <c r="K4" i="2" s="1"/>
  <c r="J9" i="2"/>
  <c r="K5" i="2" s="1"/>
  <c r="J10" i="2"/>
  <c r="K6" i="2" s="1"/>
  <c r="J11" i="2"/>
  <c r="K7" i="2" s="1"/>
  <c r="J12" i="2"/>
  <c r="K8" i="2" s="1"/>
  <c r="J13" i="2"/>
  <c r="K9" i="2" s="1"/>
  <c r="J15" i="2"/>
  <c r="F34" i="2"/>
  <c r="F33" i="2"/>
  <c r="F32" i="2"/>
  <c r="F31" i="2"/>
  <c r="C36" i="2" s="1"/>
  <c r="J3" i="2"/>
  <c r="K3" i="2" s="1"/>
  <c r="B10" i="1"/>
  <c r="B38" i="1"/>
  <c r="B39" i="1" s="1"/>
  <c r="C38" i="1"/>
  <c r="C39" i="1" s="1"/>
  <c r="S4" i="2"/>
  <c r="Q9" i="2"/>
  <c r="Q8" i="2"/>
  <c r="Q7" i="2"/>
  <c r="Q6" i="2"/>
  <c r="Q5" i="2"/>
  <c r="T4" i="2"/>
  <c r="W4" i="2" s="1"/>
  <c r="N10" i="2"/>
  <c r="X10" i="2" s="1"/>
  <c r="N9" i="2"/>
  <c r="O9" i="2" s="1"/>
  <c r="N5" i="2"/>
  <c r="P5" i="2" s="1"/>
  <c r="N4" i="2"/>
  <c r="P4" i="2" s="1"/>
  <c r="C36" i="1"/>
  <c r="C37" i="1" s="1"/>
  <c r="N8" i="2"/>
  <c r="O8" i="2" s="1"/>
  <c r="N7" i="2"/>
  <c r="N6" i="2"/>
  <c r="H24" i="2"/>
  <c r="C41" i="1"/>
  <c r="D42" i="1"/>
  <c r="F42" i="1" s="1"/>
  <c r="B36" i="1"/>
  <c r="B40" i="1" l="1"/>
  <c r="D40" i="1" s="1"/>
  <c r="P7" i="2"/>
  <c r="O7" i="2"/>
  <c r="P6" i="2"/>
  <c r="O6" i="2"/>
  <c r="O4" i="2"/>
  <c r="O5" i="2"/>
  <c r="A28" i="1"/>
  <c r="T5" i="2"/>
  <c r="W5" i="2" s="1"/>
  <c r="T6" i="2"/>
  <c r="W6" i="2" s="1"/>
  <c r="T7" i="2"/>
  <c r="W7" i="2" s="1"/>
  <c r="T8" i="2"/>
  <c r="W8" i="2" s="1"/>
  <c r="X8" i="2" s="1"/>
  <c r="E39" i="1" s="1"/>
  <c r="C29" i="1"/>
  <c r="A29" i="1"/>
  <c r="X9" i="2"/>
  <c r="E41" i="1" s="1"/>
  <c r="D36" i="1"/>
  <c r="P8" i="2"/>
  <c r="D39" i="1"/>
  <c r="D38" i="1"/>
  <c r="B37" i="1"/>
  <c r="D37" i="1" s="1"/>
  <c r="D41" i="1"/>
  <c r="F41" i="1" l="1"/>
  <c r="Y4" i="2"/>
  <c r="X4" i="2"/>
  <c r="X7" i="2"/>
  <c r="E38" i="1" s="1"/>
  <c r="X6" i="2"/>
  <c r="E37" i="1" s="1"/>
  <c r="X5" i="2"/>
  <c r="E36" i="1" s="1"/>
  <c r="F39" i="1"/>
  <c r="F36" i="1" l="1"/>
  <c r="F37" i="1"/>
  <c r="E40" i="1"/>
  <c r="F40" i="1" s="1"/>
  <c r="F38" i="1"/>
  <c r="F43" i="1" l="1"/>
  <c r="F44" i="1" s="1"/>
  <c r="B45" i="1" s="1"/>
  <c r="B29" i="1" s="1"/>
  <c r="B30" i="1" s="1"/>
  <c r="G38" i="1" l="1"/>
  <c r="G37" i="1"/>
  <c r="G41" i="1"/>
  <c r="G40" i="1"/>
  <c r="G39" i="1"/>
  <c r="G42" i="1"/>
  <c r="G36" i="1"/>
</calcChain>
</file>

<file path=xl/sharedStrings.xml><?xml version="1.0" encoding="utf-8"?>
<sst xmlns="http://schemas.openxmlformats.org/spreadsheetml/2006/main" count="143" uniqueCount="99">
  <si>
    <t>Venlo</t>
  </si>
  <si>
    <t>Hauteur chaineau</t>
  </si>
  <si>
    <t>Hauteur faitage</t>
  </si>
  <si>
    <t>m</t>
  </si>
  <si>
    <t>Type serre</t>
  </si>
  <si>
    <t>Multichapelle ''plate''</t>
  </si>
  <si>
    <t>Multichapelle ''gothique''</t>
  </si>
  <si>
    <t>Grande portée horticole</t>
  </si>
  <si>
    <t>Couverture</t>
  </si>
  <si>
    <t>Verre 4mm</t>
  </si>
  <si>
    <t>Double ETFE</t>
  </si>
  <si>
    <t>Toiture</t>
  </si>
  <si>
    <t>Ecran 1</t>
  </si>
  <si>
    <t>Ecran 2</t>
  </si>
  <si>
    <t>non</t>
  </si>
  <si>
    <t>Largeur (pignon)</t>
  </si>
  <si>
    <t>Simple ETFE</t>
  </si>
  <si>
    <t>U vertical (W/m²°C)</t>
  </si>
  <si>
    <t>Pertes</t>
  </si>
  <si>
    <t>W</t>
  </si>
  <si>
    <t>oui</t>
  </si>
  <si>
    <t>oui_non</t>
  </si>
  <si>
    <t>Eco. Energie</t>
  </si>
  <si>
    <t>Pignon 1</t>
  </si>
  <si>
    <t>Pignon 2</t>
  </si>
  <si>
    <t>Longpan 1</t>
  </si>
  <si>
    <t>Longpan 2</t>
  </si>
  <si>
    <t>W/°C,m²</t>
  </si>
  <si>
    <t>Total parois</t>
  </si>
  <si>
    <t>U Couv</t>
  </si>
  <si>
    <t>Faitage</t>
  </si>
  <si>
    <t>Coefficient U</t>
  </si>
  <si>
    <t>Surface</t>
  </si>
  <si>
    <t>m²</t>
  </si>
  <si>
    <t>Zone tampon chauffée / isolée</t>
  </si>
  <si>
    <t>Ecran 3</t>
  </si>
  <si>
    <t>Coeff U ADEME</t>
  </si>
  <si>
    <t>W/°C</t>
  </si>
  <si>
    <t>W/m²°C</t>
  </si>
  <si>
    <t>Hauteur Muret</t>
  </si>
  <si>
    <t>Muret</t>
  </si>
  <si>
    <t>W/m</t>
  </si>
  <si>
    <t>R ext+int</t>
  </si>
  <si>
    <t>R cuv</t>
  </si>
  <si>
    <t>W/m °C</t>
  </si>
  <si>
    <t>en%</t>
  </si>
  <si>
    <t>Polycarbonate 10mm</t>
  </si>
  <si>
    <t>Polycarbonate 32mm</t>
  </si>
  <si>
    <t>Linéique fondation (W /m °C)</t>
  </si>
  <si>
    <t>Conductivité (W/ m °C)</t>
  </si>
  <si>
    <t>U Horizontal (W/m²°C)</t>
  </si>
  <si>
    <t>Panneau isolé</t>
  </si>
  <si>
    <t>Serre 1</t>
  </si>
  <si>
    <t>Nom de la serre</t>
  </si>
  <si>
    <t>Double vitrage avec argon 4/16/4</t>
  </si>
  <si>
    <t>Double vitrage avec argon 4/16/4 et  rupture de pont thermique</t>
  </si>
  <si>
    <t>Surface mini bulle</t>
  </si>
  <si>
    <t>Double vitrage avec lame d'air</t>
  </si>
  <si>
    <t>W/°K m²</t>
  </si>
  <si>
    <t>Type de projet</t>
  </si>
  <si>
    <t>Superficie &lt;= 10 000 m²: Coeff U du faitage et chaque paroi  &lt; 2.9 W / (°C m²)</t>
  </si>
  <si>
    <t>W / (°C m² sol)</t>
  </si>
  <si>
    <t>W / (°C m² paroi)</t>
  </si>
  <si>
    <t>Eligibilité</t>
  </si>
  <si>
    <t>Calculs</t>
  </si>
  <si>
    <t>Coeff U de la paroi la plus déperditive</t>
  </si>
  <si>
    <t>a) déconstruction/ reconstruction de la serre</t>
  </si>
  <si>
    <t>c) création d’une nouvelle serre</t>
  </si>
  <si>
    <t>b) extension de la serre avec aire énergétique existante</t>
  </si>
  <si>
    <t>d) rénovation par isolation des parois verticales</t>
  </si>
  <si>
    <t>Paroi vertical</t>
  </si>
  <si>
    <t>Liste</t>
  </si>
  <si>
    <t>Choix</t>
  </si>
  <si>
    <t>Rénovation par isolation des parois verticales: coeff U de la paroi la plus déperditive  &lt; 3.0 W / (°K m²) hors écran</t>
  </si>
  <si>
    <t>Rvertical (m² °C / W)</t>
  </si>
  <si>
    <t>Rhorizontal (m² °C / W)</t>
  </si>
  <si>
    <t>Dimension 2</t>
  </si>
  <si>
    <t>m ou m²</t>
  </si>
  <si>
    <t>m, m²</t>
  </si>
  <si>
    <t>Longueur ou surface au sol</t>
  </si>
  <si>
    <t>Surface développée ou longueur</t>
  </si>
  <si>
    <t>Longueur (longpan)</t>
  </si>
  <si>
    <t>Largeur/épaisseur  Muret</t>
  </si>
  <si>
    <t>Matériaux de couverture</t>
  </si>
  <si>
    <t>Résultats</t>
  </si>
  <si>
    <t>Linéique</t>
  </si>
  <si>
    <t>Caractéristique de la serre</t>
  </si>
  <si>
    <t>Coefficient surface développée/sol</t>
  </si>
  <si>
    <t>U écran 1</t>
  </si>
  <si>
    <t>U écran 2</t>
  </si>
  <si>
    <t>U écran 3</t>
  </si>
  <si>
    <t>U écran 1+2°3</t>
  </si>
  <si>
    <t>Verre 4mm peu émissif</t>
  </si>
  <si>
    <t>Béton</t>
  </si>
  <si>
    <t>Superficie &gt;= 10 000 m²: Coeff U doit être &lt; 3.6 W / (°K m²)</t>
  </si>
  <si>
    <t>Coeff U de l'ensemble de la serre</t>
  </si>
  <si>
    <t>Serre Tomate A</t>
  </si>
  <si>
    <t>Polycarbonate 16mm 3 parois</t>
  </si>
  <si>
    <t>Polycarbonate 16mm 5 parois ou 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</si>
</sst>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0.0000"/>
    <numFmt numFmtId="165" formatCode="0.000000"/>
    <numFmt numFmtId="166" formatCode="0.000"/>
    <numFmt numFmtId="167" formatCode="#,##0.00&quot; m&quot;"/>
    <numFmt numFmtId="168" formatCode="#,##0.00&quot; m²&quot;"/>
    <numFmt numFmtId="169" formatCode="#,##0.00&quot; W/°K.m²&quot;"/>
    <numFmt numFmtId="170" formatCode="#,##0.00&quot; W/°K.m&quot;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sz val="7.5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BD4B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3">
    <xf numFmtId="0" fontId="0" fillId="0" borderId="0" xfId="0"/>
    <xf numFmtId="0" fontId="0" fillId="0" borderId="1" xfId="0" applyBorder="1"/>
    <xf numFmtId="0" fontId="0" fillId="0" borderId="0" xfId="0" applyAlignment="1">
      <alignment horizontal="left"/>
    </xf>
    <xf numFmtId="9" fontId="0" fillId="0" borderId="0" xfId="0" applyNumberFormat="1"/>
    <xf numFmtId="0" fontId="6" fillId="2" borderId="1" xfId="0" applyFont="1" applyFill="1" applyBorder="1" applyAlignment="1">
      <alignment vertical="center" wrapText="1"/>
    </xf>
    <xf numFmtId="3" fontId="6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2" fontId="0" fillId="0" borderId="0" xfId="0" applyNumberFormat="1"/>
    <xf numFmtId="165" fontId="0" fillId="0" borderId="0" xfId="0" applyNumberFormat="1"/>
    <xf numFmtId="2" fontId="6" fillId="0" borderId="1" xfId="0" applyNumberFormat="1" applyFont="1" applyBorder="1" applyAlignment="1">
      <alignment horizontal="center" vertical="center" wrapText="1"/>
    </xf>
    <xf numFmtId="165" fontId="6" fillId="2" borderId="1" xfId="0" applyNumberFormat="1" applyFont="1" applyFill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165" fontId="0" fillId="0" borderId="1" xfId="0" applyNumberFormat="1" applyBorder="1"/>
    <xf numFmtId="2" fontId="6" fillId="0" borderId="0" xfId="0" applyNumberFormat="1" applyFont="1"/>
    <xf numFmtId="2" fontId="6" fillId="2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Border="1"/>
    <xf numFmtId="0" fontId="0" fillId="3" borderId="0" xfId="0" applyFill="1"/>
    <xf numFmtId="0" fontId="4" fillId="3" borderId="0" xfId="0" applyFont="1" applyFill="1"/>
    <xf numFmtId="0" fontId="3" fillId="3" borderId="0" xfId="0" applyFont="1" applyFill="1"/>
    <xf numFmtId="0" fontId="0" fillId="3" borderId="1" xfId="0" applyFill="1" applyBorder="1"/>
    <xf numFmtId="3" fontId="5" fillId="3" borderId="1" xfId="0" applyNumberFormat="1" applyFont="1" applyFill="1" applyBorder="1" applyAlignment="1">
      <alignment horizontal="center"/>
    </xf>
    <xf numFmtId="2" fontId="4" fillId="3" borderId="0" xfId="0" applyNumberFormat="1" applyFont="1" applyFill="1" applyAlignment="1">
      <alignment horizontal="center"/>
    </xf>
    <xf numFmtId="0" fontId="3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9" fontId="4" fillId="3" borderId="0" xfId="0" applyNumberFormat="1" applyFont="1" applyFill="1" applyAlignment="1">
      <alignment vertical="center"/>
    </xf>
    <xf numFmtId="2" fontId="0" fillId="3" borderId="0" xfId="0" applyNumberFormat="1" applyFill="1"/>
    <xf numFmtId="9" fontId="0" fillId="3" borderId="0" xfId="1" applyFont="1" applyFill="1"/>
    <xf numFmtId="9" fontId="4" fillId="3" borderId="1" xfId="0" applyNumberFormat="1" applyFont="1" applyFill="1" applyBorder="1" applyAlignment="1">
      <alignment horizontal="center" vertical="center"/>
    </xf>
    <xf numFmtId="9" fontId="4" fillId="3" borderId="0" xfId="0" applyNumberFormat="1" applyFont="1" applyFill="1"/>
    <xf numFmtId="0" fontId="0" fillId="3" borderId="0" xfId="0" applyFill="1" applyAlignment="1">
      <alignment horizontal="left" vertical="center" wrapText="1"/>
    </xf>
    <xf numFmtId="166" fontId="0" fillId="3" borderId="0" xfId="0" applyNumberForma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9" fillId="3" borderId="0" xfId="0" applyFont="1" applyFill="1" applyAlignment="1">
      <alignment horizont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 wrapText="1"/>
    </xf>
    <xf numFmtId="167" fontId="6" fillId="3" borderId="1" xfId="0" applyNumberFormat="1" applyFont="1" applyFill="1" applyBorder="1" applyAlignment="1">
      <alignment horizontal="center" vertical="center" wrapText="1"/>
    </xf>
    <xf numFmtId="168" fontId="6" fillId="3" borderId="1" xfId="0" applyNumberFormat="1" applyFont="1" applyFill="1" applyBorder="1" applyAlignment="1">
      <alignment horizontal="center" vertical="center" wrapText="1"/>
    </xf>
    <xf numFmtId="169" fontId="6" fillId="3" borderId="1" xfId="0" applyNumberFormat="1" applyFont="1" applyFill="1" applyBorder="1" applyAlignment="1">
      <alignment horizontal="center" vertical="center" wrapText="1"/>
    </xf>
    <xf numFmtId="3" fontId="6" fillId="3" borderId="1" xfId="0" applyNumberFormat="1" applyFont="1" applyFill="1" applyBorder="1" applyAlignment="1">
      <alignment horizontal="center" vertical="center" wrapText="1"/>
    </xf>
    <xf numFmtId="9" fontId="0" fillId="3" borderId="0" xfId="1" applyFont="1" applyFill="1" applyAlignment="1">
      <alignment horizontal="center"/>
    </xf>
    <xf numFmtId="9" fontId="6" fillId="3" borderId="1" xfId="0" applyNumberFormat="1" applyFont="1" applyFill="1" applyBorder="1" applyAlignment="1">
      <alignment horizontal="center" vertical="center" wrapText="1"/>
    </xf>
    <xf numFmtId="10" fontId="0" fillId="3" borderId="0" xfId="1" applyNumberFormat="1" applyFont="1" applyFill="1"/>
    <xf numFmtId="4" fontId="6" fillId="3" borderId="1" xfId="0" applyNumberFormat="1" applyFont="1" applyFill="1" applyBorder="1" applyAlignment="1">
      <alignment horizontal="center" vertical="center" wrapText="1"/>
    </xf>
    <xf numFmtId="170" fontId="6" fillId="3" borderId="1" xfId="0" applyNumberFormat="1" applyFont="1" applyFill="1" applyBorder="1" applyAlignment="1">
      <alignment horizontal="center" vertical="center" wrapText="1"/>
    </xf>
    <xf numFmtId="3" fontId="6" fillId="3" borderId="4" xfId="0" applyNumberFormat="1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/>
    </xf>
    <xf numFmtId="4" fontId="8" fillId="3" borderId="0" xfId="0" applyNumberFormat="1" applyFont="1" applyFill="1"/>
    <xf numFmtId="0" fontId="4" fillId="4" borderId="0" xfId="0" applyFont="1" applyFill="1" applyProtection="1">
      <protection locked="0"/>
    </xf>
    <xf numFmtId="0" fontId="4" fillId="4" borderId="1" xfId="0" applyFont="1" applyFill="1" applyBorder="1" applyAlignment="1" applyProtection="1">
      <alignment horizontal="center"/>
      <protection locked="0"/>
    </xf>
    <xf numFmtId="2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vertical="center"/>
      <protection locked="0"/>
    </xf>
    <xf numFmtId="2" fontId="4" fillId="4" borderId="1" xfId="0" applyNumberFormat="1" applyFont="1" applyFill="1" applyBorder="1" applyAlignment="1" applyProtection="1">
      <alignment horizontal="left"/>
      <protection locked="0"/>
    </xf>
    <xf numFmtId="9" fontId="4" fillId="4" borderId="1" xfId="0" applyNumberFormat="1" applyFont="1" applyFill="1" applyBorder="1" applyAlignment="1" applyProtection="1">
      <alignment horizontal="center" vertical="center"/>
      <protection locked="0"/>
    </xf>
    <xf numFmtId="0" fontId="0" fillId="3" borderId="0" xfId="0" applyFill="1" applyAlignment="1">
      <alignment vertical="center" wrapText="1"/>
    </xf>
    <xf numFmtId="0" fontId="4" fillId="4" borderId="0" xfId="0" applyFont="1" applyFill="1" applyProtection="1">
      <protection locked="0"/>
    </xf>
    <xf numFmtId="0" fontId="0" fillId="4" borderId="0" xfId="0" applyFill="1" applyProtection="1">
      <protection locked="0"/>
    </xf>
    <xf numFmtId="0" fontId="0" fillId="0" borderId="1" xfId="0" applyBorder="1" applyAlignment="1">
      <alignment vertical="center" wrapText="1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grithermic.fr/fr/accueil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982133</xdr:colOff>
      <xdr:row>0</xdr:row>
      <xdr:rowOff>0</xdr:rowOff>
    </xdr:from>
    <xdr:to>
      <xdr:col>2</xdr:col>
      <xdr:colOff>723640</xdr:colOff>
      <xdr:row>1</xdr:row>
      <xdr:rowOff>96722</xdr:rowOff>
    </xdr:to>
    <xdr:pic>
      <xdr:nvPicPr>
        <xdr:cNvPr id="3" name="Image 2" descr="Agrithermic améliore l’efficacité énergétique de vos serres agricoles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99E0F394-715A-4BC2-88DF-C5F3E6DC5D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133" y="0"/>
          <a:ext cx="4064000" cy="1258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>
    <pageSetUpPr fitToPage="1"/>
  </sheetPr>
  <dimension ref="A1:I45"/>
  <sheetViews>
    <sheetView tabSelected="1" zoomScaleNormal="100" workbookViewId="0">
      <selection activeCell="B9" sqref="B9"/>
    </sheetView>
  </sheetViews>
  <sheetFormatPr baseColWidth="10" defaultColWidth="11.42578125" defaultRowHeight="15" x14ac:dyDescent="0.25"/>
  <cols>
    <col min="1" max="1" width="26.42578125" style="18" customWidth="1"/>
    <col min="2" max="2" width="35.42578125" style="18" customWidth="1"/>
    <col min="3" max="3" width="16.28515625" style="18" customWidth="1"/>
    <col min="4" max="6" width="13.7109375" style="18" customWidth="1"/>
    <col min="7" max="7" width="19.7109375" style="18" customWidth="1"/>
    <col min="8" max="16384" width="11.42578125" style="18"/>
  </cols>
  <sheetData>
    <row r="1" spans="1:5" ht="92.65" customHeight="1" x14ac:dyDescent="0.25"/>
    <row r="3" spans="1:5" x14ac:dyDescent="0.25">
      <c r="A3" s="18" t="s">
        <v>53</v>
      </c>
      <c r="B3" s="53" t="s">
        <v>96</v>
      </c>
      <c r="E3" s="19"/>
    </row>
    <row r="4" spans="1:5" x14ac:dyDescent="0.25">
      <c r="B4" s="19"/>
    </row>
    <row r="5" spans="1:5" x14ac:dyDescent="0.25">
      <c r="A5" s="18" t="s">
        <v>59</v>
      </c>
      <c r="B5" s="60" t="s">
        <v>66</v>
      </c>
      <c r="C5" s="60"/>
      <c r="D5" s="61"/>
    </row>
    <row r="6" spans="1:5" x14ac:dyDescent="0.25">
      <c r="B6" s="19"/>
    </row>
    <row r="7" spans="1:5" x14ac:dyDescent="0.25">
      <c r="A7" s="20" t="s">
        <v>86</v>
      </c>
    </row>
    <row r="8" spans="1:5" x14ac:dyDescent="0.25">
      <c r="A8" s="21" t="s">
        <v>81</v>
      </c>
      <c r="B8" s="54">
        <v>125</v>
      </c>
      <c r="C8" s="18" t="s">
        <v>3</v>
      </c>
    </row>
    <row r="9" spans="1:5" x14ac:dyDescent="0.25">
      <c r="A9" s="21" t="s">
        <v>15</v>
      </c>
      <c r="B9" s="54">
        <v>100</v>
      </c>
      <c r="C9" s="18" t="s">
        <v>3</v>
      </c>
    </row>
    <row r="10" spans="1:5" x14ac:dyDescent="0.25">
      <c r="A10" s="21" t="s">
        <v>32</v>
      </c>
      <c r="B10" s="22">
        <f>B8*B9</f>
        <v>12500</v>
      </c>
      <c r="C10" s="18" t="s">
        <v>33</v>
      </c>
    </row>
    <row r="11" spans="1:5" x14ac:dyDescent="0.25">
      <c r="A11" s="21" t="s">
        <v>2</v>
      </c>
      <c r="B11" s="55">
        <v>7.6</v>
      </c>
      <c r="C11" s="18" t="s">
        <v>3</v>
      </c>
    </row>
    <row r="12" spans="1:5" x14ac:dyDescent="0.25">
      <c r="A12" s="21" t="s">
        <v>1</v>
      </c>
      <c r="B12" s="55">
        <v>6.8</v>
      </c>
      <c r="C12" s="18" t="s">
        <v>3</v>
      </c>
    </row>
    <row r="13" spans="1:5" x14ac:dyDescent="0.25">
      <c r="A13" s="21" t="s">
        <v>39</v>
      </c>
      <c r="B13" s="55">
        <v>0.3</v>
      </c>
      <c r="C13" s="18" t="s">
        <v>3</v>
      </c>
    </row>
    <row r="14" spans="1:5" x14ac:dyDescent="0.25">
      <c r="A14" s="21" t="s">
        <v>82</v>
      </c>
      <c r="B14" s="55">
        <v>0.4</v>
      </c>
      <c r="C14" s="18" t="s">
        <v>3</v>
      </c>
    </row>
    <row r="15" spans="1:5" x14ac:dyDescent="0.25">
      <c r="B15" s="23"/>
    </row>
    <row r="17" spans="1:9" x14ac:dyDescent="0.25">
      <c r="A17" s="24" t="s">
        <v>83</v>
      </c>
      <c r="B17" s="25" t="s">
        <v>8</v>
      </c>
      <c r="C17" s="26" t="s">
        <v>12</v>
      </c>
      <c r="D17" s="27" t="s">
        <v>13</v>
      </c>
      <c r="E17" s="27" t="s">
        <v>35</v>
      </c>
    </row>
    <row r="18" spans="1:9" x14ac:dyDescent="0.25">
      <c r="A18" s="24"/>
      <c r="B18" s="25"/>
      <c r="C18" s="28" t="s">
        <v>22</v>
      </c>
      <c r="D18" s="28" t="s">
        <v>22</v>
      </c>
      <c r="E18" s="28" t="s">
        <v>22</v>
      </c>
    </row>
    <row r="19" spans="1:9" ht="18" customHeight="1" x14ac:dyDescent="0.25">
      <c r="A19" s="29" t="s">
        <v>11</v>
      </c>
      <c r="B19" s="56" t="s">
        <v>9</v>
      </c>
      <c r="C19" s="58">
        <v>0.47</v>
      </c>
      <c r="D19" s="58">
        <v>0.47</v>
      </c>
      <c r="E19" s="58">
        <v>0</v>
      </c>
      <c r="F19" s="18" t="s">
        <v>45</v>
      </c>
    </row>
    <row r="20" spans="1:9" ht="18" customHeight="1" x14ac:dyDescent="0.25">
      <c r="A20" s="29" t="s">
        <v>25</v>
      </c>
      <c r="B20" s="56" t="s">
        <v>97</v>
      </c>
      <c r="C20" s="58">
        <v>0</v>
      </c>
      <c r="E20" s="30"/>
    </row>
    <row r="21" spans="1:9" ht="18" customHeight="1" x14ac:dyDescent="0.25">
      <c r="A21" s="29" t="s">
        <v>26</v>
      </c>
      <c r="B21" s="56" t="s">
        <v>97</v>
      </c>
      <c r="C21" s="58">
        <v>0</v>
      </c>
      <c r="D21" s="30"/>
      <c r="E21" s="30"/>
    </row>
    <row r="22" spans="1:9" ht="18" customHeight="1" x14ac:dyDescent="0.25">
      <c r="A22" s="29" t="s">
        <v>23</v>
      </c>
      <c r="B22" s="56" t="s">
        <v>97</v>
      </c>
      <c r="C22" s="58">
        <v>0</v>
      </c>
      <c r="D22" s="30"/>
      <c r="E22" s="30"/>
      <c r="F22" s="31"/>
      <c r="I22" s="32"/>
    </row>
    <row r="23" spans="1:9" ht="18" customHeight="1" x14ac:dyDescent="0.25">
      <c r="A23" s="29" t="s">
        <v>24</v>
      </c>
      <c r="B23" s="56" t="s">
        <v>97</v>
      </c>
      <c r="C23" s="58">
        <v>0</v>
      </c>
      <c r="D23" s="30"/>
      <c r="E23" s="30"/>
      <c r="I23" s="32"/>
    </row>
    <row r="24" spans="1:9" ht="18" customHeight="1" x14ac:dyDescent="0.25">
      <c r="A24" s="29" t="s">
        <v>40</v>
      </c>
      <c r="B24" s="56" t="s">
        <v>93</v>
      </c>
      <c r="C24" s="33"/>
      <c r="D24" s="30"/>
      <c r="E24" s="30"/>
    </row>
    <row r="25" spans="1:9" ht="18" customHeight="1" x14ac:dyDescent="0.25">
      <c r="A25" s="29" t="s">
        <v>48</v>
      </c>
      <c r="B25" s="57">
        <v>2</v>
      </c>
      <c r="C25" s="29"/>
      <c r="D25" s="34"/>
      <c r="E25" s="34"/>
      <c r="F25" s="34"/>
    </row>
    <row r="27" spans="1:9" x14ac:dyDescent="0.25">
      <c r="A27" s="20" t="s">
        <v>84</v>
      </c>
    </row>
    <row r="28" spans="1:9" x14ac:dyDescent="0.25">
      <c r="A28" s="18" t="str">
        <f>IF(List!C36=4,List!A20,IF(B10&gt;10000,List!A21,List!A22))</f>
        <v>Superficie &gt;= 10 000 m²: Coeff U doit être &lt; 3.6 W / (°K m²)</v>
      </c>
    </row>
    <row r="29" spans="1:9" ht="30" x14ac:dyDescent="0.25">
      <c r="A29" s="35" t="str">
        <f>IF(B10&gt;10000,List!A23,List!A24)</f>
        <v>Coeff U de l'ensemble de la serre</v>
      </c>
      <c r="B29" s="36">
        <f>IF(List!C36=4,MAX(List!O5:O8),IF(B10&gt;10000,B45,MAX(E36:E40)))</f>
        <v>3.4223854582766218</v>
      </c>
      <c r="C29" s="37" t="str">
        <f>IF(B10&gt;10000,List!A25,List!A26)</f>
        <v>W / (°C m² sol)</v>
      </c>
    </row>
    <row r="30" spans="1:9" x14ac:dyDescent="0.25">
      <c r="A30" s="18" t="s">
        <v>63</v>
      </c>
      <c r="B30" s="38" t="str">
        <f>IF(List!C36=4,(IF(B29&lt;List!C27,"oui","non")),IF(B10&gt;10000,(IF(B29&lt;List!A27,"oui","non")),IF(B29&lt;List!B27,"oui","non")))</f>
        <v>oui</v>
      </c>
      <c r="D30" s="31"/>
    </row>
    <row r="32" spans="1:9" x14ac:dyDescent="0.25">
      <c r="A32" s="20" t="s">
        <v>64</v>
      </c>
    </row>
    <row r="34" spans="1:9" ht="29.25" x14ac:dyDescent="0.25">
      <c r="A34" s="59"/>
      <c r="B34" s="39" t="s">
        <v>79</v>
      </c>
      <c r="C34" s="39" t="s">
        <v>76</v>
      </c>
      <c r="D34" s="39" t="s">
        <v>80</v>
      </c>
      <c r="E34" s="39" t="s">
        <v>31</v>
      </c>
      <c r="F34" s="39" t="s">
        <v>18</v>
      </c>
    </row>
    <row r="35" spans="1:9" x14ac:dyDescent="0.25">
      <c r="A35" s="59"/>
      <c r="B35" s="39" t="s">
        <v>77</v>
      </c>
      <c r="C35" s="39" t="s">
        <v>77</v>
      </c>
      <c r="D35" s="39" t="s">
        <v>78</v>
      </c>
      <c r="E35" s="39" t="s">
        <v>58</v>
      </c>
      <c r="F35" s="39" t="s">
        <v>19</v>
      </c>
    </row>
    <row r="36" spans="1:9" x14ac:dyDescent="0.25">
      <c r="A36" s="40" t="s">
        <v>25</v>
      </c>
      <c r="B36" s="41">
        <f>B8</f>
        <v>125</v>
      </c>
      <c r="C36" s="41">
        <f>B12-B13</f>
        <v>6.5</v>
      </c>
      <c r="D36" s="42">
        <f>B36*C36</f>
        <v>812.5</v>
      </c>
      <c r="E36" s="43">
        <f>List!X5</f>
        <v>2.639999303040184</v>
      </c>
      <c r="F36" s="44">
        <f>D36*E36</f>
        <v>2144.9994337201497</v>
      </c>
      <c r="G36" s="45">
        <f>F36/$F$43</f>
        <v>5.0140452263382089E-2</v>
      </c>
      <c r="I36" s="31"/>
    </row>
    <row r="37" spans="1:9" x14ac:dyDescent="0.25">
      <c r="A37" s="40" t="s">
        <v>26</v>
      </c>
      <c r="B37" s="41">
        <f>B36</f>
        <v>125</v>
      </c>
      <c r="C37" s="41">
        <f>C36</f>
        <v>6.5</v>
      </c>
      <c r="D37" s="42">
        <f t="shared" ref="D37:D39" si="0">B37*C37</f>
        <v>812.5</v>
      </c>
      <c r="E37" s="43">
        <f>List!X6</f>
        <v>2.639999303040184</v>
      </c>
      <c r="F37" s="44">
        <f t="shared" ref="F37:F40" si="1">D37*E37</f>
        <v>2144.9994337201497</v>
      </c>
      <c r="G37" s="45">
        <f t="shared" ref="G37:G41" si="2">F37/$F$43</f>
        <v>5.0140452263382089E-2</v>
      </c>
      <c r="H37" s="31"/>
    </row>
    <row r="38" spans="1:9" x14ac:dyDescent="0.25">
      <c r="A38" s="40" t="s">
        <v>23</v>
      </c>
      <c r="B38" s="41">
        <f>B9</f>
        <v>100</v>
      </c>
      <c r="C38" s="41">
        <f>(B11+B12)/2-B13</f>
        <v>6.8999999999999995</v>
      </c>
      <c r="D38" s="42">
        <f t="shared" si="0"/>
        <v>690</v>
      </c>
      <c r="E38" s="43">
        <f>List!X7</f>
        <v>2.639999303040184</v>
      </c>
      <c r="F38" s="44">
        <f t="shared" si="1"/>
        <v>1821.5995190977269</v>
      </c>
      <c r="G38" s="45">
        <f t="shared" si="2"/>
        <v>4.2580814845210625E-2</v>
      </c>
    </row>
    <row r="39" spans="1:9" x14ac:dyDescent="0.25">
      <c r="A39" s="40" t="s">
        <v>24</v>
      </c>
      <c r="B39" s="41">
        <f>B38</f>
        <v>100</v>
      </c>
      <c r="C39" s="41">
        <f>C38</f>
        <v>6.8999999999999995</v>
      </c>
      <c r="D39" s="42">
        <f t="shared" si="0"/>
        <v>690</v>
      </c>
      <c r="E39" s="43">
        <f>List!X8</f>
        <v>2.639999303040184</v>
      </c>
      <c r="F39" s="44">
        <f t="shared" si="1"/>
        <v>1821.5995190977269</v>
      </c>
      <c r="G39" s="45">
        <f>F39/$F$43</f>
        <v>4.2580814845210625E-2</v>
      </c>
    </row>
    <row r="40" spans="1:9" x14ac:dyDescent="0.25">
      <c r="A40" s="40" t="s">
        <v>11</v>
      </c>
      <c r="B40" s="42">
        <f>B36*B38</f>
        <v>12500</v>
      </c>
      <c r="C40" s="46">
        <v>1.08</v>
      </c>
      <c r="D40" s="42">
        <f>B40*C40</f>
        <v>13500</v>
      </c>
      <c r="E40" s="43">
        <f>List!X4</f>
        <v>2.4875374413301592</v>
      </c>
      <c r="F40" s="44">
        <f t="shared" si="1"/>
        <v>33581.755457957152</v>
      </c>
      <c r="G40" s="45">
        <f>F40/$F$43</f>
        <v>0.78499060651964314</v>
      </c>
      <c r="I40" s="47"/>
    </row>
    <row r="41" spans="1:9" x14ac:dyDescent="0.25">
      <c r="A41" s="40" t="s">
        <v>40</v>
      </c>
      <c r="B41" s="41">
        <f>2*(B8+B9)</f>
        <v>450</v>
      </c>
      <c r="C41" s="41">
        <f>B13</f>
        <v>0.3</v>
      </c>
      <c r="D41" s="42">
        <f>B41*C41</f>
        <v>135</v>
      </c>
      <c r="E41" s="43">
        <f>List!X9</f>
        <v>2.7027027027027026</v>
      </c>
      <c r="F41" s="44">
        <f>D41*E41</f>
        <v>364.86486486486484</v>
      </c>
      <c r="G41" s="45">
        <f t="shared" si="2"/>
        <v>8.5289017105302078E-3</v>
      </c>
    </row>
    <row r="42" spans="1:9" x14ac:dyDescent="0.25">
      <c r="A42" s="40" t="s">
        <v>85</v>
      </c>
      <c r="B42" s="41">
        <f>B41</f>
        <v>450</v>
      </c>
      <c r="C42" s="48"/>
      <c r="D42" s="41">
        <f>B42</f>
        <v>450</v>
      </c>
      <c r="E42" s="49">
        <f>B25</f>
        <v>2</v>
      </c>
      <c r="F42" s="44">
        <f>D42*E42</f>
        <v>900</v>
      </c>
      <c r="G42" s="45">
        <f>F42/$F$43</f>
        <v>2.1037957552641179E-2</v>
      </c>
    </row>
    <row r="43" spans="1:9" x14ac:dyDescent="0.25">
      <c r="A43" s="39" t="s">
        <v>28</v>
      </c>
      <c r="F43" s="50">
        <f>SUM(F36:F42)</f>
        <v>42779.818228457771</v>
      </c>
      <c r="G43" s="51" t="s">
        <v>37</v>
      </c>
    </row>
    <row r="44" spans="1:9" x14ac:dyDescent="0.25">
      <c r="F44" s="48">
        <f>F43/B40</f>
        <v>3.4223854582766218</v>
      </c>
      <c r="G44" s="51" t="s">
        <v>38</v>
      </c>
    </row>
    <row r="45" spans="1:9" x14ac:dyDescent="0.25">
      <c r="A45" s="18" t="s">
        <v>36</v>
      </c>
      <c r="B45" s="52">
        <f>F44</f>
        <v>3.4223854582766218</v>
      </c>
      <c r="C45" s="18" t="s">
        <v>38</v>
      </c>
    </row>
  </sheetData>
  <sheetProtection algorithmName="SHA-512" hashValue="p46SCCZy/LtT+7xVW6Jy/+2PwFahVwuB6hSDjLYCYKNlzNkNirU4n2njk4Q67JEUkDlCPUNajf+QQ2D1wMW0tg==" saltValue="Hb7dSRRw3od+WEQ2ZhOpTQ==" spinCount="100000" sheet="1" objects="1" scenarios="1" selectLockedCells="1"/>
  <mergeCells count="2">
    <mergeCell ref="A34:A35"/>
    <mergeCell ref="B5:D5"/>
  </mergeCells>
  <dataValidations count="3">
    <dataValidation type="list" allowBlank="1" showInputMessage="1" showErrorMessage="1" sqref="B20:B24">
      <formula1>ParoiVerticale</formula1>
    </dataValidation>
    <dataValidation type="list" allowBlank="1" showInputMessage="1" showErrorMessage="1" sqref="B5:C5">
      <formula1>typeprojet</formula1>
    </dataValidation>
    <dataValidation type="list" allowBlank="1" showInputMessage="1" showErrorMessage="1" sqref="B19">
      <formula1>Faitage</formula1>
    </dataValidation>
  </dataValidations>
  <pageMargins left="0.70866141732283472" right="0.70866141732283472" top="0.55118110236220474" bottom="0.35433070866141736" header="0.31496062992125984" footer="0.11811023622047245"/>
  <pageSetup paperSize="9" scale="94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>
    <pageSetUpPr fitToPage="1"/>
  </sheetPr>
  <dimension ref="A1:Y69"/>
  <sheetViews>
    <sheetView topLeftCell="E1" zoomScaleNormal="100" workbookViewId="0">
      <selection activeCell="F7" sqref="F7"/>
    </sheetView>
  </sheetViews>
  <sheetFormatPr baseColWidth="10" defaultRowHeight="15" x14ac:dyDescent="0.25"/>
  <cols>
    <col min="1" max="1" width="15.42578125" customWidth="1"/>
    <col min="2" max="2" width="20.85546875" customWidth="1"/>
    <col min="3" max="3" width="6.7109375" customWidth="1"/>
    <col min="5" max="5" width="54.42578125" bestFit="1" customWidth="1"/>
    <col min="6" max="6" width="33.42578125" customWidth="1"/>
    <col min="7" max="9" width="20.28515625" customWidth="1"/>
    <col min="16" max="16" width="11.42578125" style="9"/>
    <col min="20" max="20" width="16.7109375" bestFit="1" customWidth="1"/>
    <col min="21" max="21" width="15.140625" bestFit="1" customWidth="1"/>
    <col min="22" max="22" width="15.140625" customWidth="1"/>
    <col min="23" max="23" width="19.7109375" style="15" bestFit="1" customWidth="1"/>
    <col min="24" max="24" width="11.42578125" style="8"/>
  </cols>
  <sheetData>
    <row r="1" spans="1:25" x14ac:dyDescent="0.25">
      <c r="A1" s="2" t="s">
        <v>21</v>
      </c>
      <c r="B1" t="s">
        <v>4</v>
      </c>
      <c r="E1" t="s">
        <v>30</v>
      </c>
      <c r="F1" t="s">
        <v>70</v>
      </c>
      <c r="N1" t="s">
        <v>52</v>
      </c>
    </row>
    <row r="2" spans="1:25" x14ac:dyDescent="0.25">
      <c r="A2" t="s">
        <v>20</v>
      </c>
      <c r="B2" t="s">
        <v>87</v>
      </c>
      <c r="G2" t="s">
        <v>17</v>
      </c>
      <c r="H2" t="s">
        <v>50</v>
      </c>
      <c r="I2" t="s">
        <v>49</v>
      </c>
      <c r="J2" t="s">
        <v>74</v>
      </c>
      <c r="K2" t="s">
        <v>75</v>
      </c>
      <c r="M2" s="62"/>
      <c r="N2" s="7"/>
      <c r="O2" s="7" t="s">
        <v>29</v>
      </c>
      <c r="P2" s="11" t="s">
        <v>43</v>
      </c>
      <c r="Q2" s="7" t="s">
        <v>12</v>
      </c>
      <c r="R2" s="7" t="s">
        <v>13</v>
      </c>
      <c r="S2" s="7" t="s">
        <v>35</v>
      </c>
      <c r="T2" s="7" t="s">
        <v>88</v>
      </c>
      <c r="U2" s="7" t="s">
        <v>89</v>
      </c>
      <c r="V2" s="7" t="s">
        <v>90</v>
      </c>
      <c r="W2" s="16" t="s">
        <v>91</v>
      </c>
      <c r="X2" s="16" t="s">
        <v>31</v>
      </c>
    </row>
    <row r="3" spans="1:25" x14ac:dyDescent="0.25">
      <c r="A3" t="s">
        <v>14</v>
      </c>
      <c r="B3" t="s">
        <v>0</v>
      </c>
      <c r="C3">
        <v>1.08</v>
      </c>
      <c r="E3" t="s">
        <v>9</v>
      </c>
      <c r="F3" t="s">
        <v>9</v>
      </c>
      <c r="G3" s="8">
        <v>5.7</v>
      </c>
      <c r="H3" s="8">
        <v>6.9</v>
      </c>
      <c r="J3">
        <f>MAX(1/G3-$G$24,0)</f>
        <v>5.4385964912280482E-3</v>
      </c>
      <c r="K3">
        <f>J3</f>
        <v>5.4385964912280482E-3</v>
      </c>
      <c r="M3" s="62"/>
      <c r="N3" s="7" t="s">
        <v>3</v>
      </c>
      <c r="O3" s="7" t="s">
        <v>3</v>
      </c>
      <c r="P3" s="11"/>
      <c r="Q3" s="7"/>
      <c r="R3" s="7"/>
      <c r="S3" s="7"/>
      <c r="T3" s="7"/>
      <c r="U3" s="7"/>
      <c r="V3" s="7"/>
      <c r="W3" s="17"/>
      <c r="X3" s="16" t="s">
        <v>27</v>
      </c>
    </row>
    <row r="4" spans="1:25" x14ac:dyDescent="0.25">
      <c r="B4" t="s">
        <v>5</v>
      </c>
      <c r="C4">
        <v>1.06</v>
      </c>
      <c r="E4" t="s">
        <v>92</v>
      </c>
      <c r="F4" t="s">
        <v>46</v>
      </c>
      <c r="G4" s="8">
        <v>3.5200000000000005</v>
      </c>
      <c r="H4" s="8">
        <v>4.288939051918736</v>
      </c>
      <c r="J4">
        <f t="shared" ref="J4:J15" si="0">MAX(1/G4-$G$24,0)</f>
        <v>0.11409090909090905</v>
      </c>
      <c r="K4" s="8">
        <f>J8</f>
        <v>9.3157894736842078E-2</v>
      </c>
      <c r="M4" s="4" t="s">
        <v>30</v>
      </c>
      <c r="N4" s="5" t="str">
        <f>Serre!$B$19</f>
        <v>Verre 4mm</v>
      </c>
      <c r="O4" s="6">
        <f>VLOOKUP(N4,$E$3:$H$23,4,FALSE)</f>
        <v>6.9</v>
      </c>
      <c r="P4" s="12">
        <f>VLOOKUP(N4,$F$3:$J$21,4,FALSE)</f>
        <v>0</v>
      </c>
      <c r="Q4" s="5">
        <f>Serre!$C$19*100</f>
        <v>47</v>
      </c>
      <c r="R4" s="5">
        <f>Serre!$D$19*100</f>
        <v>47</v>
      </c>
      <c r="S4" s="5">
        <f>Serre!$E$19*100</f>
        <v>0</v>
      </c>
      <c r="T4" s="13">
        <f>IF(Q4=0,10000000,IFERROR(1/(1/(1-Q4/100)/$H$3-(0.00491+$H$24)),10000000000))</f>
        <v>7.7797895363766685</v>
      </c>
      <c r="U4" s="13">
        <f>IF(R4=0,10000000,IFERROR(1/(1/(1-R4/100)/$H$3-(0.00491+$H$24)),10000000000))</f>
        <v>7.7797895363766685</v>
      </c>
      <c r="V4" s="13">
        <f>IF(S4=0,10000000,IFERROR(1/(1/(1-S4/100)/$H$3-(0.00491+$H$24)),10000000000))</f>
        <v>10000000</v>
      </c>
      <c r="W4" s="17">
        <f>1/(1/T4+1/U4+1/V4)</f>
        <v>3.8898932550607923</v>
      </c>
      <c r="X4" s="10">
        <f>IFERROR(1/(1/W4+1/O4),0)</f>
        <v>2.4875374413301592</v>
      </c>
      <c r="Y4">
        <f>(1-Q4/100)*O4</f>
        <v>3.6570000000000005</v>
      </c>
    </row>
    <row r="5" spans="1:25" ht="19.5" x14ac:dyDescent="0.25">
      <c r="B5" t="s">
        <v>6</v>
      </c>
      <c r="C5">
        <v>1.07</v>
      </c>
      <c r="E5" t="s">
        <v>16</v>
      </c>
      <c r="F5" t="s">
        <v>97</v>
      </c>
      <c r="G5">
        <v>2.64</v>
      </c>
      <c r="H5" s="8">
        <v>6.9</v>
      </c>
      <c r="J5">
        <f t="shared" si="0"/>
        <v>0.20878787878787877</v>
      </c>
      <c r="K5" s="8">
        <f t="shared" ref="K5:K9" si="1">J9</f>
        <v>5.4385964912280482E-3</v>
      </c>
      <c r="M5" s="4" t="s">
        <v>25</v>
      </c>
      <c r="N5" s="5" t="str">
        <f>Serre!$B$20</f>
        <v>Polycarbonate 16mm 3 parois</v>
      </c>
      <c r="O5" s="6">
        <f>VLOOKUP(N5,$F$3:$H$23,2,FALSE)</f>
        <v>2.64</v>
      </c>
      <c r="P5" s="12">
        <f>VLOOKUP(N5,$F$3:$J$21,4,FALSE)</f>
        <v>0</v>
      </c>
      <c r="Q5" s="5">
        <f>Serre!$C$20*100</f>
        <v>0</v>
      </c>
      <c r="R5" s="5"/>
      <c r="S5" s="5"/>
      <c r="T5" s="13">
        <f>IF(Q5=0,10000000,IFERROR(1/(1/(1-Q5/100)/$G$3-$J$3-$G$24),10000000000))</f>
        <v>10000000</v>
      </c>
      <c r="U5" s="5"/>
      <c r="V5" s="5"/>
      <c r="W5" s="17">
        <f t="shared" ref="W5:W8" si="2">T5+U5</f>
        <v>10000000</v>
      </c>
      <c r="X5" s="10">
        <f t="shared" ref="X5:X8" si="3">IFERROR(1/(1/W5+1/O5),0)</f>
        <v>2.639999303040184</v>
      </c>
    </row>
    <row r="6" spans="1:25" ht="19.5" x14ac:dyDescent="0.25">
      <c r="B6" t="s">
        <v>7</v>
      </c>
      <c r="C6">
        <v>1.08</v>
      </c>
      <c r="E6" t="s">
        <v>10</v>
      </c>
      <c r="F6" t="s">
        <v>98</v>
      </c>
      <c r="G6" s="8">
        <v>2</v>
      </c>
      <c r="H6" s="8">
        <v>3.8</v>
      </c>
      <c r="J6">
        <f t="shared" si="0"/>
        <v>0.32999999999999996</v>
      </c>
      <c r="K6" s="8">
        <f t="shared" si="1"/>
        <v>0.12411764705882353</v>
      </c>
      <c r="M6" s="4" t="s">
        <v>26</v>
      </c>
      <c r="N6" s="5" t="str">
        <f>Serre!$B$21</f>
        <v>Polycarbonate 16mm 3 parois</v>
      </c>
      <c r="O6" s="6">
        <f>VLOOKUP(N6,$F$3:$G$23,2,FALSE)</f>
        <v>2.64</v>
      </c>
      <c r="P6" s="12">
        <f>VLOOKUP(N6,$F$3:$J$21,4,FALSE)</f>
        <v>0</v>
      </c>
      <c r="Q6" s="5">
        <f>Serre!$C$21*100</f>
        <v>0</v>
      </c>
      <c r="R6" s="5"/>
      <c r="S6" s="5"/>
      <c r="T6" s="13">
        <f t="shared" ref="T6:T8" si="4">IF(Q6=0,10000000,IFERROR(1/(1/(1-Q6/100)/$G$3-$J$3-$G$24),10000000000))</f>
        <v>10000000</v>
      </c>
      <c r="U6" s="5"/>
      <c r="V6" s="5"/>
      <c r="W6" s="17">
        <f t="shared" si="2"/>
        <v>10000000</v>
      </c>
      <c r="X6" s="10">
        <f t="shared" si="3"/>
        <v>2.639999303040184</v>
      </c>
    </row>
    <row r="7" spans="1:25" ht="19.5" x14ac:dyDescent="0.25">
      <c r="E7" t="s">
        <v>57</v>
      </c>
      <c r="F7" t="s">
        <v>47</v>
      </c>
      <c r="G7" s="8">
        <v>1.54</v>
      </c>
      <c r="H7" s="8">
        <v>3.8</v>
      </c>
      <c r="I7" s="8"/>
      <c r="J7">
        <f t="shared" si="0"/>
        <v>0.4793506493506493</v>
      </c>
      <c r="K7" s="8">
        <f t="shared" si="1"/>
        <v>0.12411764705882353</v>
      </c>
      <c r="M7" s="4" t="s">
        <v>23</v>
      </c>
      <c r="N7" s="5" t="str">
        <f>Serre!$B$22</f>
        <v>Polycarbonate 16mm 3 parois</v>
      </c>
      <c r="O7" s="6">
        <f>VLOOKUP(N7,$F$3:$H$23,2,FALSE)</f>
        <v>2.64</v>
      </c>
      <c r="P7" s="12">
        <f>VLOOKUP(N7,$F$3:$J$21,4,FALSE)</f>
        <v>0</v>
      </c>
      <c r="Q7" s="5">
        <f>Serre!$C$22*100</f>
        <v>0</v>
      </c>
      <c r="R7" s="5"/>
      <c r="S7" s="5"/>
      <c r="T7" s="13">
        <f t="shared" si="4"/>
        <v>10000000</v>
      </c>
      <c r="U7" s="5"/>
      <c r="V7" s="5"/>
      <c r="W7" s="17">
        <f t="shared" si="2"/>
        <v>10000000</v>
      </c>
      <c r="X7" s="10">
        <f t="shared" si="3"/>
        <v>2.639999303040184</v>
      </c>
    </row>
    <row r="8" spans="1:25" ht="30.6" customHeight="1" x14ac:dyDescent="0.25">
      <c r="E8" t="s">
        <v>54</v>
      </c>
      <c r="F8" t="s">
        <v>92</v>
      </c>
      <c r="G8" s="8">
        <v>3.8</v>
      </c>
      <c r="H8" s="8">
        <v>3</v>
      </c>
      <c r="I8" s="8"/>
      <c r="J8">
        <f t="shared" si="0"/>
        <v>9.3157894736842078E-2</v>
      </c>
      <c r="K8" s="8">
        <f t="shared" si="1"/>
        <v>0.21461538461538457</v>
      </c>
      <c r="M8" s="4" t="s">
        <v>24</v>
      </c>
      <c r="N8" s="5" t="str">
        <f>Serre!$B$23</f>
        <v>Polycarbonate 16mm 3 parois</v>
      </c>
      <c r="O8" s="6">
        <f>VLOOKUP(N8,$F$3:$H$23,2,FALSE)</f>
        <v>2.64</v>
      </c>
      <c r="P8" s="12">
        <f>VLOOKUP(N8,$F$3:$J$21,4,FALSE)</f>
        <v>0</v>
      </c>
      <c r="Q8" s="5">
        <f>Serre!$C$23*100</f>
        <v>0</v>
      </c>
      <c r="R8" s="5"/>
      <c r="S8" s="5"/>
      <c r="T8" s="13">
        <f t="shared" si="4"/>
        <v>10000000</v>
      </c>
      <c r="U8" s="5"/>
      <c r="V8" s="5"/>
      <c r="W8" s="17">
        <f t="shared" si="2"/>
        <v>10000000</v>
      </c>
      <c r="X8" s="10">
        <f t="shared" si="3"/>
        <v>2.639999303040184</v>
      </c>
    </row>
    <row r="9" spans="1:25" x14ac:dyDescent="0.25">
      <c r="E9" t="s">
        <v>55</v>
      </c>
      <c r="F9" t="s">
        <v>16</v>
      </c>
      <c r="G9" s="8">
        <v>5.7</v>
      </c>
      <c r="H9" s="8">
        <v>1.7359284587059443</v>
      </c>
      <c r="I9" s="8"/>
      <c r="J9">
        <f t="shared" si="0"/>
        <v>5.4385964912280482E-3</v>
      </c>
      <c r="K9" s="8">
        <f t="shared" si="1"/>
        <v>0.43606060606060604</v>
      </c>
      <c r="M9" s="4" t="s">
        <v>40</v>
      </c>
      <c r="N9" s="5" t="str">
        <f>Serre!$B$24</f>
        <v>Béton</v>
      </c>
      <c r="O9" s="6">
        <f>VLOOKUP(N9,$F$3:$H$23,2,FALSE)</f>
        <v>2</v>
      </c>
      <c r="P9" s="12"/>
      <c r="Q9" s="6">
        <f>Serre!$B$14</f>
        <v>0.4</v>
      </c>
      <c r="R9" s="1"/>
      <c r="S9" s="1"/>
      <c r="T9" s="1"/>
      <c r="U9" s="1"/>
      <c r="V9" s="1"/>
      <c r="W9" s="17"/>
      <c r="X9" s="10">
        <f>1/(List!$G$24+Q9/O9)</f>
        <v>2.7027027027027026</v>
      </c>
    </row>
    <row r="10" spans="1:25" x14ac:dyDescent="0.25">
      <c r="F10" t="s">
        <v>10</v>
      </c>
      <c r="G10" s="8">
        <v>3.4</v>
      </c>
      <c r="H10" s="8"/>
      <c r="I10" s="8"/>
      <c r="J10">
        <f t="shared" si="0"/>
        <v>0.12411764705882353</v>
      </c>
      <c r="M10" s="4" t="s">
        <v>85</v>
      </c>
      <c r="N10" s="6">
        <f>Serre!$B$25</f>
        <v>2</v>
      </c>
      <c r="O10" s="1"/>
      <c r="P10" s="14"/>
      <c r="Q10" s="1"/>
      <c r="R10" s="1"/>
      <c r="S10" s="1"/>
      <c r="T10" s="1"/>
      <c r="U10" s="1"/>
      <c r="V10" s="1"/>
      <c r="W10" s="17"/>
      <c r="X10" s="10">
        <f>N10</f>
        <v>2</v>
      </c>
    </row>
    <row r="11" spans="1:25" x14ac:dyDescent="0.25">
      <c r="F11" t="s">
        <v>57</v>
      </c>
      <c r="G11" s="8">
        <v>3.4</v>
      </c>
      <c r="H11" s="8"/>
      <c r="J11">
        <f t="shared" si="0"/>
        <v>0.12411764705882353</v>
      </c>
    </row>
    <row r="12" spans="1:25" x14ac:dyDescent="0.25">
      <c r="F12" t="s">
        <v>54</v>
      </c>
      <c r="G12" s="8">
        <v>2.6</v>
      </c>
      <c r="H12" s="8"/>
      <c r="I12" s="8"/>
      <c r="J12">
        <f t="shared" si="0"/>
        <v>0.21461538461538457</v>
      </c>
      <c r="P12"/>
      <c r="W12"/>
      <c r="X12"/>
    </row>
    <row r="13" spans="1:25" x14ac:dyDescent="0.25">
      <c r="F13" t="s">
        <v>55</v>
      </c>
      <c r="G13" s="8">
        <v>1.65</v>
      </c>
      <c r="I13" s="8"/>
      <c r="J13">
        <f t="shared" si="0"/>
        <v>0.43606060606060604</v>
      </c>
      <c r="P13"/>
      <c r="W13"/>
      <c r="X13"/>
    </row>
    <row r="14" spans="1:25" x14ac:dyDescent="0.25">
      <c r="B14" t="s">
        <v>56</v>
      </c>
      <c r="C14">
        <v>10000</v>
      </c>
      <c r="D14" t="s">
        <v>33</v>
      </c>
      <c r="F14" t="s">
        <v>34</v>
      </c>
      <c r="G14" s="8">
        <v>0</v>
      </c>
      <c r="J14">
        <v>0</v>
      </c>
      <c r="P14"/>
      <c r="W14"/>
      <c r="X14"/>
    </row>
    <row r="15" spans="1:25" x14ac:dyDescent="0.25">
      <c r="F15" t="s">
        <v>93</v>
      </c>
      <c r="G15" s="8">
        <v>2</v>
      </c>
      <c r="J15">
        <f t="shared" si="0"/>
        <v>0.32999999999999996</v>
      </c>
      <c r="P15"/>
      <c r="W15"/>
      <c r="X15"/>
    </row>
    <row r="16" spans="1:25" x14ac:dyDescent="0.25">
      <c r="F16" t="s">
        <v>51</v>
      </c>
      <c r="G16" s="8">
        <v>4.4999999999999998E-2</v>
      </c>
      <c r="K16" t="s">
        <v>44</v>
      </c>
      <c r="P16"/>
      <c r="W16"/>
      <c r="X16"/>
    </row>
    <row r="17" spans="1:24" x14ac:dyDescent="0.25">
      <c r="I17" s="8"/>
      <c r="P17"/>
      <c r="W17"/>
      <c r="X17"/>
    </row>
    <row r="18" spans="1:24" x14ac:dyDescent="0.25">
      <c r="I18">
        <v>2</v>
      </c>
      <c r="P18"/>
      <c r="W18"/>
      <c r="X18"/>
    </row>
    <row r="19" spans="1:24" x14ac:dyDescent="0.25">
      <c r="I19">
        <v>4.4999999999999998E-2</v>
      </c>
      <c r="P19"/>
      <c r="W19"/>
      <c r="X19"/>
    </row>
    <row r="20" spans="1:24" x14ac:dyDescent="0.25">
      <c r="A20" t="s">
        <v>73</v>
      </c>
      <c r="P20"/>
      <c r="W20"/>
      <c r="X20"/>
    </row>
    <row r="21" spans="1:24" x14ac:dyDescent="0.25">
      <c r="A21" t="s">
        <v>94</v>
      </c>
      <c r="C21" s="3"/>
      <c r="P21"/>
      <c r="W21"/>
      <c r="X21"/>
    </row>
    <row r="22" spans="1:24" x14ac:dyDescent="0.25">
      <c r="A22" t="s">
        <v>60</v>
      </c>
      <c r="C22" s="3"/>
      <c r="H22">
        <v>0.04</v>
      </c>
      <c r="P22"/>
      <c r="W22"/>
      <c r="X22"/>
    </row>
    <row r="23" spans="1:24" x14ac:dyDescent="0.25">
      <c r="A23" t="s">
        <v>95</v>
      </c>
      <c r="C23" s="3"/>
      <c r="H23">
        <v>0.1</v>
      </c>
      <c r="P23"/>
      <c r="W23"/>
      <c r="X23"/>
    </row>
    <row r="24" spans="1:24" x14ac:dyDescent="0.25">
      <c r="A24" t="s">
        <v>65</v>
      </c>
      <c r="C24" s="3"/>
      <c r="F24" t="s">
        <v>42</v>
      </c>
      <c r="G24">
        <v>0.17</v>
      </c>
      <c r="H24">
        <f>H22+H23</f>
        <v>0.14000000000000001</v>
      </c>
      <c r="P24"/>
      <c r="W24"/>
      <c r="X24"/>
    </row>
    <row r="25" spans="1:24" x14ac:dyDescent="0.25">
      <c r="A25" t="s">
        <v>61</v>
      </c>
      <c r="C25" s="3"/>
      <c r="F25" t="s">
        <v>85</v>
      </c>
      <c r="G25">
        <v>2</v>
      </c>
      <c r="H25" t="s">
        <v>41</v>
      </c>
      <c r="P25"/>
      <c r="W25"/>
      <c r="X25"/>
    </row>
    <row r="26" spans="1:24" x14ac:dyDescent="0.25">
      <c r="A26" t="s">
        <v>62</v>
      </c>
      <c r="C26" s="3"/>
      <c r="P26"/>
      <c r="W26"/>
      <c r="X26"/>
    </row>
    <row r="27" spans="1:24" x14ac:dyDescent="0.25">
      <c r="A27" s="8">
        <v>3.6</v>
      </c>
      <c r="B27" s="8">
        <v>2.9</v>
      </c>
      <c r="C27">
        <v>3</v>
      </c>
      <c r="P27"/>
      <c r="W27"/>
      <c r="X27"/>
    </row>
    <row r="28" spans="1:24" ht="20.45" customHeight="1" x14ac:dyDescent="0.25">
      <c r="P28"/>
      <c r="W28"/>
      <c r="X28"/>
    </row>
    <row r="29" spans="1:24" ht="20.45" customHeight="1" x14ac:dyDescent="0.25">
      <c r="P29"/>
      <c r="W29"/>
      <c r="X29"/>
    </row>
    <row r="30" spans="1:24" x14ac:dyDescent="0.25">
      <c r="B30" t="s">
        <v>71</v>
      </c>
      <c r="P30"/>
      <c r="W30"/>
      <c r="X30"/>
    </row>
    <row r="31" spans="1:24" ht="20.45" customHeight="1" x14ac:dyDescent="0.25">
      <c r="B31" t="s">
        <v>66</v>
      </c>
      <c r="F31">
        <f>IF(Serre!$B$5=List!B31,1,0)</f>
        <v>1</v>
      </c>
      <c r="P31"/>
      <c r="W31"/>
      <c r="X31"/>
    </row>
    <row r="32" spans="1:24" x14ac:dyDescent="0.25">
      <c r="B32" t="s">
        <v>68</v>
      </c>
      <c r="F32">
        <f>IF(Serre!$B$5=List!B32,2,0)</f>
        <v>0</v>
      </c>
      <c r="P32"/>
      <c r="W32"/>
      <c r="X32"/>
    </row>
    <row r="33" spans="2:24" x14ac:dyDescent="0.25">
      <c r="B33" t="s">
        <v>67</v>
      </c>
      <c r="F33">
        <f>IF(Serre!$B$5=List!B33,3,0)</f>
        <v>0</v>
      </c>
      <c r="P33"/>
      <c r="W33"/>
      <c r="X33"/>
    </row>
    <row r="34" spans="2:24" x14ac:dyDescent="0.25">
      <c r="B34" t="s">
        <v>69</v>
      </c>
      <c r="F34">
        <f>IF(Serre!$B$5=List!B34,4,0)</f>
        <v>0</v>
      </c>
      <c r="P34"/>
      <c r="W34"/>
      <c r="X34"/>
    </row>
    <row r="35" spans="2:24" x14ac:dyDescent="0.25">
      <c r="P35"/>
      <c r="W35"/>
      <c r="X35"/>
    </row>
    <row r="36" spans="2:24" x14ac:dyDescent="0.25">
      <c r="B36" t="s">
        <v>72</v>
      </c>
      <c r="C36">
        <f>MAX(F31:F34)</f>
        <v>1</v>
      </c>
      <c r="P36"/>
      <c r="W36"/>
      <c r="X36"/>
    </row>
    <row r="37" spans="2:24" x14ac:dyDescent="0.25">
      <c r="P37"/>
      <c r="W37"/>
      <c r="X37"/>
    </row>
    <row r="38" spans="2:24" x14ac:dyDescent="0.25">
      <c r="P38"/>
      <c r="W38"/>
      <c r="X38"/>
    </row>
    <row r="39" spans="2:24" x14ac:dyDescent="0.25">
      <c r="P39"/>
      <c r="W39"/>
      <c r="X39"/>
    </row>
    <row r="40" spans="2:24" x14ac:dyDescent="0.25">
      <c r="P40"/>
      <c r="W40"/>
      <c r="X40"/>
    </row>
    <row r="41" spans="2:24" x14ac:dyDescent="0.25">
      <c r="P41"/>
      <c r="W41"/>
      <c r="X41"/>
    </row>
    <row r="42" spans="2:24" x14ac:dyDescent="0.25">
      <c r="P42"/>
      <c r="W42"/>
      <c r="X42"/>
    </row>
    <row r="43" spans="2:24" x14ac:dyDescent="0.25">
      <c r="P43"/>
      <c r="W43"/>
      <c r="X43"/>
    </row>
    <row r="44" spans="2:24" x14ac:dyDescent="0.25">
      <c r="P44"/>
      <c r="W44"/>
      <c r="X44"/>
    </row>
    <row r="45" spans="2:24" x14ac:dyDescent="0.25">
      <c r="P45"/>
      <c r="W45"/>
      <c r="X45"/>
    </row>
    <row r="46" spans="2:24" x14ac:dyDescent="0.25">
      <c r="P46"/>
      <c r="W46"/>
      <c r="X46"/>
    </row>
    <row r="47" spans="2:24" x14ac:dyDescent="0.25">
      <c r="P47"/>
      <c r="W47"/>
      <c r="X47"/>
    </row>
    <row r="48" spans="2:24" x14ac:dyDescent="0.25">
      <c r="P48"/>
      <c r="W48"/>
      <c r="X48"/>
    </row>
    <row r="49" customFormat="1" x14ac:dyDescent="0.25"/>
    <row r="50" customFormat="1" x14ac:dyDescent="0.25"/>
    <row r="51" customFormat="1" x14ac:dyDescent="0.25"/>
    <row r="52" customFormat="1" x14ac:dyDescent="0.25"/>
    <row r="53" customFormat="1" x14ac:dyDescent="0.25"/>
    <row r="54" customFormat="1" x14ac:dyDescent="0.25"/>
    <row r="55" customFormat="1" x14ac:dyDescent="0.25"/>
    <row r="56" customFormat="1" x14ac:dyDescent="0.25"/>
    <row r="57" customFormat="1" x14ac:dyDescent="0.25"/>
    <row r="58" customFormat="1" x14ac:dyDescent="0.25"/>
    <row r="59" customFormat="1" x14ac:dyDescent="0.25"/>
    <row r="60" customFormat="1" x14ac:dyDescent="0.25"/>
    <row r="61" customFormat="1" x14ac:dyDescent="0.25"/>
    <row r="62" customFormat="1" x14ac:dyDescent="0.25"/>
    <row r="63" customFormat="1" x14ac:dyDescent="0.25"/>
    <row r="64" customFormat="1" x14ac:dyDescent="0.25"/>
    <row r="65" customFormat="1" x14ac:dyDescent="0.25"/>
    <row r="66" customFormat="1" x14ac:dyDescent="0.25"/>
    <row r="67" customFormat="1" x14ac:dyDescent="0.25"/>
    <row r="68" customFormat="1" x14ac:dyDescent="0.25"/>
    <row r="69" customFormat="1" x14ac:dyDescent="0.25"/>
  </sheetData>
  <sheetProtection selectLockedCells="1"/>
  <mergeCells count="1">
    <mergeCell ref="M2:M3"/>
  </mergeCells>
  <pageMargins left="0.7" right="0.7" top="0.75" bottom="0.75" header="0.3" footer="0.3"/>
  <pageSetup paperSize="9" scale="58" fitToHeight="0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5d81795-2a7c-4e0a-a652-b7562e572498">
      <Terms xmlns="http://schemas.microsoft.com/office/infopath/2007/PartnerControls"/>
    </lcf76f155ced4ddcb4097134ff3c332f>
    <TaxCatchAll xmlns="f7c40b04-31ee-47f9-9c42-be55a4c07c3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A41491259DE2744BFCA4EE409C0AFAA" ma:contentTypeVersion="17" ma:contentTypeDescription="Crée un document." ma:contentTypeScope="" ma:versionID="f23bed0b3a5842d71f94ec1fb2103598">
  <xsd:schema xmlns:xsd="http://www.w3.org/2001/XMLSchema" xmlns:xs="http://www.w3.org/2001/XMLSchema" xmlns:p="http://schemas.microsoft.com/office/2006/metadata/properties" xmlns:ns2="55d81795-2a7c-4e0a-a652-b7562e572498" xmlns:ns3="f7c40b04-31ee-47f9-9c42-be55a4c07c30" targetNamespace="http://schemas.microsoft.com/office/2006/metadata/properties" ma:root="true" ma:fieldsID="be399e35cb0d17cde7e3df123abd1c3e" ns2:_="" ns3:_="">
    <xsd:import namespace="55d81795-2a7c-4e0a-a652-b7562e572498"/>
    <xsd:import namespace="f7c40b04-31ee-47f9-9c42-be55a4c07c3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d81795-2a7c-4e0a-a652-b7562e57249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alises d’images" ma:readOnly="false" ma:fieldId="{5cf76f15-5ced-4ddc-b409-7134ff3c332f}" ma:taxonomyMulti="true" ma:sspId="87ff8807-774d-487d-9d42-516ae59fde5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c40b04-31ee-47f9-9c42-be55a4c07c30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123bcb3-ae4b-4931-bb2b-2b362d089fde}" ma:internalName="TaxCatchAll" ma:showField="CatchAllData" ma:web="f7c40b04-31ee-47f9-9c42-be55a4c07c3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21C51F3-DB3F-4DAE-9AEA-1170E26FE92F}">
  <ds:schemaRefs>
    <ds:schemaRef ds:uri="http://schemas.microsoft.com/office/2006/metadata/properties"/>
    <ds:schemaRef ds:uri="http://schemas.microsoft.com/office/infopath/2007/PartnerControls"/>
    <ds:schemaRef ds:uri="55d81795-2a7c-4e0a-a652-b7562e572498"/>
    <ds:schemaRef ds:uri="f7c40b04-31ee-47f9-9c42-be55a4c07c30"/>
  </ds:schemaRefs>
</ds:datastoreItem>
</file>

<file path=customXml/itemProps2.xml><?xml version="1.0" encoding="utf-8"?>
<ds:datastoreItem xmlns:ds="http://schemas.openxmlformats.org/officeDocument/2006/customXml" ds:itemID="{F8F8EC7C-95BE-4CEA-8BA3-CA3B5414DCB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52F7E47-9FA4-49BC-B76E-462CF8B5A16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d81795-2a7c-4e0a-a652-b7562e572498"/>
    <ds:schemaRef ds:uri="f7c40b04-31ee-47f9-9c42-be55a4c07c3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8</vt:i4>
      </vt:variant>
    </vt:vector>
  </HeadingPairs>
  <TitlesOfParts>
    <vt:vector size="10" baseType="lpstr">
      <vt:lpstr>Serre</vt:lpstr>
      <vt:lpstr>List</vt:lpstr>
      <vt:lpstr>Faitage</vt:lpstr>
      <vt:lpstr>nouveausite</vt:lpstr>
      <vt:lpstr>oui</vt:lpstr>
      <vt:lpstr>ParoiVerticale</vt:lpstr>
      <vt:lpstr>type_serre</vt:lpstr>
      <vt:lpstr>typeprojet</vt:lpstr>
      <vt:lpstr>List!Zone_d_impression</vt:lpstr>
      <vt:lpstr>Serre!Zone_d_impression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Stauffer Vincent</dc:creator>
  <cp:lastModifiedBy>PELTIER Marie</cp:lastModifiedBy>
  <cp:lastPrinted>2024-06-06T13:55:43Z</cp:lastPrinted>
  <dcterms:created xsi:type="dcterms:W3CDTF">2018-12-05T15:49:28Z</dcterms:created>
  <dcterms:modified xsi:type="dcterms:W3CDTF">2024-06-17T10:26:21Z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0x0101007A41491259DE2744BFCA4EE409C0AFAA</vt:lpwstr>
  </property>
</Properties>
</file>